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설변자료\"/>
    </mc:Choice>
  </mc:AlternateContent>
  <xr:revisionPtr revIDLastSave="0" documentId="8_{186818D5-3942-4A31-8C4C-4A629EE6F4D9}" xr6:coauthVersionLast="45" xr6:coauthVersionMax="45" xr10:uidLastSave="{00000000-0000-0000-0000-000000000000}"/>
  <bookViews>
    <workbookView xWindow="-120" yWindow="-120" windowWidth="20730" windowHeight="11160" tabRatio="804" activeTab="4" xr2:uid="{00000000-000D-0000-FFFF-FFFF00000000}"/>
  </bookViews>
  <sheets>
    <sheet name="원가계산서" sheetId="23" r:id="rId1"/>
    <sheet name="총괄내역서" sheetId="22" r:id="rId2"/>
    <sheet name="내역서" sheetId="17" r:id="rId3"/>
    <sheet name="일위대가총괄표" sheetId="6" r:id="rId4"/>
    <sheet name="일위대가" sheetId="7" r:id="rId5"/>
    <sheet name="기계경비총괄표" sheetId="10" r:id="rId6"/>
    <sheet name="기계경비" sheetId="11" r:id="rId7"/>
    <sheet name="자재단가" sheetId="14" r:id="rId8"/>
    <sheet name="노임단가" sheetId="15" r:id="rId9"/>
    <sheet name="임목폐기물수량산출" sheetId="20" r:id="rId10"/>
    <sheet name="집재및운반" sheetId="24" r:id="rId11"/>
  </sheets>
  <definedNames>
    <definedName name="_xlnm.Print_Area" localSheetId="6">기계경비!$B$1:$AD$29</definedName>
    <definedName name="_xlnm.Print_Area" localSheetId="5">기계경비총괄표!$B$1:$I$29</definedName>
    <definedName name="_xlnm.Print_Area" localSheetId="2">내역서!$A$1:$O$39</definedName>
    <definedName name="_xlnm.Print_Area" localSheetId="8">노임단가!$B$1:$O$9</definedName>
    <definedName name="_xlnm.Print_Area" localSheetId="0">원가계산서!$A$1:$F$31</definedName>
    <definedName name="_xlnm.Print_Area" localSheetId="4">일위대가!$B$2:$O$87</definedName>
    <definedName name="_xlnm.Print_Area" localSheetId="3">일위대가총괄표!$B$1:$J$34</definedName>
    <definedName name="_xlnm.Print_Area" localSheetId="7">자재단가!$B$2:$V$34</definedName>
    <definedName name="_xlnm.Print_Area" localSheetId="10">집재및운반!$A$1:$U$50</definedName>
    <definedName name="_xlnm.Print_Area" localSheetId="1">총괄내역서!$A$1:$L$31</definedName>
    <definedName name="_xlnm.Print_Titles" localSheetId="6">기계경비!$1:$3</definedName>
    <definedName name="_xlnm.Print_Titles" localSheetId="5">기계경비총괄표!$1:$3</definedName>
    <definedName name="_xlnm.Print_Titles" localSheetId="8">노임단가!$1:$3</definedName>
    <definedName name="_xlnm.Print_Titles" localSheetId="4">일위대가!$1:$4</definedName>
    <definedName name="_xlnm.Print_Titles" localSheetId="3">일위대가총괄표!$1:$4</definedName>
    <definedName name="_xlnm.Print_Titles" localSheetId="7">자재단가!$1:$4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7" l="1"/>
  <c r="B3" i="6" s="1"/>
  <c r="A2" i="22"/>
  <c r="I87" i="7" l="1"/>
  <c r="J87" i="7" s="1"/>
  <c r="O83" i="24"/>
  <c r="O86" i="24"/>
  <c r="G56" i="24"/>
  <c r="O33" i="24"/>
  <c r="I26" i="24"/>
  <c r="G6" i="24"/>
  <c r="G21" i="20"/>
  <c r="F19" i="20"/>
  <c r="C19" i="20"/>
  <c r="I19" i="20" s="1"/>
  <c r="F18" i="20"/>
  <c r="C18" i="20"/>
  <c r="I18" i="20" s="1"/>
  <c r="F17" i="20"/>
  <c r="C17" i="20"/>
  <c r="I17" i="20" s="1"/>
  <c r="F16" i="20"/>
  <c r="C16" i="20"/>
  <c r="I16" i="20" s="1"/>
  <c r="F15" i="20"/>
  <c r="C15" i="20"/>
  <c r="I15" i="20" s="1"/>
  <c r="K15" i="20" s="1"/>
  <c r="F14" i="20"/>
  <c r="C14" i="20"/>
  <c r="I14" i="20" s="1"/>
  <c r="F13" i="20"/>
  <c r="C13" i="20"/>
  <c r="I13" i="20" s="1"/>
  <c r="F12" i="20"/>
  <c r="C12" i="20"/>
  <c r="I12" i="20" s="1"/>
  <c r="K12" i="20" s="1"/>
  <c r="M12" i="20" s="1"/>
  <c r="E54" i="7" s="1"/>
  <c r="F11" i="20"/>
  <c r="C11" i="20"/>
  <c r="I11" i="20" s="1"/>
  <c r="F10" i="20"/>
  <c r="C10" i="20"/>
  <c r="I10" i="20" s="1"/>
  <c r="F9" i="20"/>
  <c r="C9" i="20"/>
  <c r="I9" i="20" s="1"/>
  <c r="D14" i="6"/>
  <c r="D13" i="6"/>
  <c r="N83" i="7"/>
  <c r="J83" i="7"/>
  <c r="N82" i="7"/>
  <c r="J82" i="7"/>
  <c r="L81" i="7"/>
  <c r="J81" i="7"/>
  <c r="N80" i="7"/>
  <c r="L80" i="7"/>
  <c r="I80" i="7"/>
  <c r="J80" i="7" s="1"/>
  <c r="N79" i="7"/>
  <c r="L79" i="7"/>
  <c r="I79" i="7"/>
  <c r="J79" i="7" s="1"/>
  <c r="N78" i="7"/>
  <c r="L78" i="7"/>
  <c r="I78" i="7"/>
  <c r="J78" i="7" s="1"/>
  <c r="N75" i="7"/>
  <c r="J75" i="7"/>
  <c r="N74" i="7"/>
  <c r="J74" i="7"/>
  <c r="L73" i="7"/>
  <c r="J73" i="7"/>
  <c r="N72" i="7"/>
  <c r="L72" i="7"/>
  <c r="I72" i="7"/>
  <c r="J72" i="7" s="1"/>
  <c r="N71" i="7"/>
  <c r="L71" i="7"/>
  <c r="I71" i="7"/>
  <c r="J71" i="7" s="1"/>
  <c r="N70" i="7"/>
  <c r="L70" i="7"/>
  <c r="I70" i="7"/>
  <c r="G70" i="7" s="1"/>
  <c r="I64" i="7"/>
  <c r="I63" i="7"/>
  <c r="G63" i="7" s="1"/>
  <c r="I62" i="7"/>
  <c r="D10" i="6"/>
  <c r="D8" i="6"/>
  <c r="J51" i="7"/>
  <c r="J50" i="7"/>
  <c r="L49" i="7"/>
  <c r="J49" i="7"/>
  <c r="L48" i="7"/>
  <c r="I48" i="7"/>
  <c r="J48" i="7" s="1"/>
  <c r="L47" i="7"/>
  <c r="I47" i="7"/>
  <c r="G47" i="7" s="1"/>
  <c r="L46" i="7"/>
  <c r="I46" i="7"/>
  <c r="G46" i="7"/>
  <c r="N51" i="7"/>
  <c r="N50" i="7"/>
  <c r="N48" i="7"/>
  <c r="N47" i="7"/>
  <c r="N46" i="7"/>
  <c r="N35" i="7"/>
  <c r="J35" i="7"/>
  <c r="N34" i="7"/>
  <c r="J34" i="7"/>
  <c r="L33" i="7"/>
  <c r="J33" i="7"/>
  <c r="N32" i="7"/>
  <c r="L32" i="7"/>
  <c r="I32" i="7"/>
  <c r="G32" i="7" s="1"/>
  <c r="N31" i="7"/>
  <c r="L31" i="7"/>
  <c r="I31" i="7"/>
  <c r="G31" i="7" s="1"/>
  <c r="N30" i="7"/>
  <c r="L30" i="7"/>
  <c r="I30" i="7"/>
  <c r="J30" i="7" s="1"/>
  <c r="I24" i="7"/>
  <c r="I23" i="7"/>
  <c r="G23" i="7" s="1"/>
  <c r="I22" i="7"/>
  <c r="G22" i="7" s="1"/>
  <c r="R6" i="14"/>
  <c r="K19" i="7" s="1"/>
  <c r="D11" i="6"/>
  <c r="B5" i="7"/>
  <c r="B13" i="7" s="1"/>
  <c r="B21" i="7" s="1"/>
  <c r="B29" i="7" s="1"/>
  <c r="B37" i="7" s="1"/>
  <c r="B45" i="7" s="1"/>
  <c r="B53" i="7" s="1"/>
  <c r="B61" i="7" s="1"/>
  <c r="B69" i="7" s="1"/>
  <c r="B77" i="7" s="1"/>
  <c r="B85" i="7" s="1"/>
  <c r="C15" i="6"/>
  <c r="N87" i="7"/>
  <c r="K87" i="7"/>
  <c r="L87" i="7" s="1"/>
  <c r="I38" i="7"/>
  <c r="J38" i="7" s="1"/>
  <c r="L38" i="7"/>
  <c r="N38" i="7"/>
  <c r="I39" i="7"/>
  <c r="J39" i="7" s="1"/>
  <c r="L39" i="7"/>
  <c r="N39" i="7"/>
  <c r="I40" i="7"/>
  <c r="G40" i="7" s="1"/>
  <c r="L40" i="7"/>
  <c r="N40" i="7"/>
  <c r="J41" i="7"/>
  <c r="L41" i="7"/>
  <c r="J42" i="7"/>
  <c r="N42" i="7"/>
  <c r="J43" i="7"/>
  <c r="N43" i="7"/>
  <c r="I54" i="7"/>
  <c r="J54" i="7" s="1"/>
  <c r="L54" i="7"/>
  <c r="N54" i="7"/>
  <c r="I55" i="7"/>
  <c r="G55" i="7" s="1"/>
  <c r="I56" i="7"/>
  <c r="J57" i="7"/>
  <c r="L57" i="7"/>
  <c r="J58" i="7"/>
  <c r="N58" i="7"/>
  <c r="J59" i="7"/>
  <c r="N59" i="7"/>
  <c r="D7" i="6"/>
  <c r="D6" i="6"/>
  <c r="D5" i="6"/>
  <c r="D9" i="6"/>
  <c r="D12" i="6"/>
  <c r="G24" i="7"/>
  <c r="I16" i="7"/>
  <c r="J16" i="7" s="1"/>
  <c r="I15" i="7"/>
  <c r="J15" i="7" s="1"/>
  <c r="I14" i="7"/>
  <c r="G14" i="7" s="1"/>
  <c r="I8" i="7"/>
  <c r="G8" i="7" s="1"/>
  <c r="I7" i="7"/>
  <c r="G7" i="7" s="1"/>
  <c r="I6" i="7"/>
  <c r="G6" i="7" s="1"/>
  <c r="G62" i="7"/>
  <c r="N27" i="7"/>
  <c r="J27" i="7"/>
  <c r="N26" i="7"/>
  <c r="J26" i="7"/>
  <c r="L25" i="7"/>
  <c r="J25" i="7"/>
  <c r="N24" i="7"/>
  <c r="L24" i="7"/>
  <c r="N23" i="7"/>
  <c r="L23" i="7"/>
  <c r="N22" i="7"/>
  <c r="L22" i="7"/>
  <c r="N19" i="7"/>
  <c r="J19" i="7"/>
  <c r="N18" i="7"/>
  <c r="J18" i="7"/>
  <c r="L17" i="7"/>
  <c r="J17" i="7"/>
  <c r="N16" i="7"/>
  <c r="L16" i="7"/>
  <c r="N15" i="7"/>
  <c r="L15" i="7"/>
  <c r="N14" i="7"/>
  <c r="L14" i="7"/>
  <c r="N11" i="7"/>
  <c r="J11" i="7"/>
  <c r="N10" i="7"/>
  <c r="J10" i="7"/>
  <c r="L9" i="7"/>
  <c r="J9" i="7"/>
  <c r="N8" i="7"/>
  <c r="L8" i="7"/>
  <c r="N7" i="7"/>
  <c r="L7" i="7"/>
  <c r="N6" i="7"/>
  <c r="L6" i="7"/>
  <c r="N67" i="7"/>
  <c r="J67" i="7"/>
  <c r="N66" i="7"/>
  <c r="J66" i="7"/>
  <c r="L65" i="7"/>
  <c r="J65" i="7"/>
  <c r="AC5" i="11"/>
  <c r="AC4" i="11" s="1"/>
  <c r="I4" i="10" s="1"/>
  <c r="AB4" i="11"/>
  <c r="AA4" i="11"/>
  <c r="R5" i="14"/>
  <c r="K58" i="7" s="1"/>
  <c r="G39" i="7"/>
  <c r="G54" i="7"/>
  <c r="G64" i="7"/>
  <c r="G30" i="7"/>
  <c r="G15" i="7"/>
  <c r="J24" i="7"/>
  <c r="G71" i="7"/>
  <c r="J22" i="7"/>
  <c r="J46" i="7"/>
  <c r="G78" i="7"/>
  <c r="J23" i="7"/>
  <c r="G80" i="7"/>
  <c r="H10" i="20"/>
  <c r="J10" i="20" s="1"/>
  <c r="H11" i="20"/>
  <c r="H12" i="20"/>
  <c r="J12" i="20" s="1"/>
  <c r="L12" i="20" s="1"/>
  <c r="H15" i="20"/>
  <c r="H16" i="20"/>
  <c r="H17" i="20"/>
  <c r="J17" i="20" s="1"/>
  <c r="L17" i="20" s="1"/>
  <c r="H18" i="20"/>
  <c r="J18" i="20" s="1"/>
  <c r="H19" i="20"/>
  <c r="J19" i="20" s="1"/>
  <c r="L19" i="20" s="1"/>
  <c r="J15" i="20"/>
  <c r="J11" i="20"/>
  <c r="L11" i="20" s="1"/>
  <c r="H80" i="7" l="1"/>
  <c r="L15" i="20"/>
  <c r="J14" i="7"/>
  <c r="E56" i="7"/>
  <c r="J56" i="7" s="1"/>
  <c r="E55" i="7"/>
  <c r="G79" i="7"/>
  <c r="G38" i="7"/>
  <c r="H15" i="7"/>
  <c r="G72" i="7"/>
  <c r="H30" i="7"/>
  <c r="J21" i="7"/>
  <c r="H48" i="7"/>
  <c r="H71" i="7"/>
  <c r="H78" i="7"/>
  <c r="J77" i="7"/>
  <c r="G14" i="6" s="1"/>
  <c r="I16" i="17" s="1"/>
  <c r="H16" i="7"/>
  <c r="H9" i="20"/>
  <c r="J40" i="7"/>
  <c r="H40" i="7" s="1"/>
  <c r="J8" i="7"/>
  <c r="H8" i="7" s="1"/>
  <c r="J70" i="7"/>
  <c r="H23" i="7"/>
  <c r="J7" i="7"/>
  <c r="H7" i="7" s="1"/>
  <c r="J31" i="7"/>
  <c r="H31" i="7" s="1"/>
  <c r="H39" i="7"/>
  <c r="J16" i="20"/>
  <c r="L16" i="20" s="1"/>
  <c r="G48" i="7"/>
  <c r="H14" i="20"/>
  <c r="H24" i="7"/>
  <c r="H13" i="20"/>
  <c r="J13" i="20" s="1"/>
  <c r="L13" i="20" s="1"/>
  <c r="J6" i="7"/>
  <c r="Z4" i="11"/>
  <c r="G16" i="7"/>
  <c r="J37" i="7"/>
  <c r="G9" i="6" s="1"/>
  <c r="H38" i="7"/>
  <c r="H72" i="7"/>
  <c r="L18" i="20"/>
  <c r="H87" i="7"/>
  <c r="H79" i="7"/>
  <c r="M82" i="24"/>
  <c r="O81" i="24" s="1"/>
  <c r="H6" i="24"/>
  <c r="H56" i="24"/>
  <c r="M32" i="24"/>
  <c r="O31" i="24" s="1"/>
  <c r="E5" i="24"/>
  <c r="I76" i="24"/>
  <c r="E55" i="24"/>
  <c r="J13" i="7"/>
  <c r="G7" i="6"/>
  <c r="K17" i="20"/>
  <c r="M17" i="20" s="1"/>
  <c r="G58" i="7"/>
  <c r="L58" i="7"/>
  <c r="K18" i="20"/>
  <c r="M18" i="20" s="1"/>
  <c r="F4" i="10"/>
  <c r="K13" i="20"/>
  <c r="M13" i="20" s="1"/>
  <c r="E62" i="7" s="1"/>
  <c r="H54" i="7"/>
  <c r="K19" i="20"/>
  <c r="M19" i="20" s="1"/>
  <c r="K9" i="20"/>
  <c r="M9" i="20" s="1"/>
  <c r="I21" i="20"/>
  <c r="L19" i="7"/>
  <c r="H19" i="7" s="1"/>
  <c r="G19" i="7"/>
  <c r="K14" i="20"/>
  <c r="M14" i="20" s="1"/>
  <c r="K10" i="20"/>
  <c r="M10" i="20"/>
  <c r="I80" i="24"/>
  <c r="K92" i="24" s="1"/>
  <c r="K11" i="20"/>
  <c r="M11" i="20" s="1"/>
  <c r="K16" i="20"/>
  <c r="M16" i="20" s="1"/>
  <c r="L10" i="20"/>
  <c r="M15" i="20"/>
  <c r="K43" i="7"/>
  <c r="H46" i="7"/>
  <c r="H22" i="7"/>
  <c r="K18" i="7"/>
  <c r="J32" i="7"/>
  <c r="H32" i="7" s="1"/>
  <c r="J47" i="7"/>
  <c r="H47" i="7" s="1"/>
  <c r="K50" i="7"/>
  <c r="L6" i="24"/>
  <c r="G9" i="24" s="1"/>
  <c r="L12" i="24" s="1"/>
  <c r="K26" i="7"/>
  <c r="K35" i="7"/>
  <c r="K66" i="7"/>
  <c r="K10" i="7"/>
  <c r="K11" i="7"/>
  <c r="J55" i="7"/>
  <c r="K27" i="7"/>
  <c r="K67" i="7"/>
  <c r="K75" i="7"/>
  <c r="G87" i="7"/>
  <c r="K51" i="7"/>
  <c r="K59" i="7"/>
  <c r="O36" i="24"/>
  <c r="K42" i="7"/>
  <c r="K83" i="7"/>
  <c r="J14" i="20"/>
  <c r="L14" i="20" s="1"/>
  <c r="K34" i="7"/>
  <c r="K74" i="7"/>
  <c r="K82" i="7"/>
  <c r="H14" i="7"/>
  <c r="G56" i="7"/>
  <c r="L56" i="24"/>
  <c r="G59" i="24" s="1"/>
  <c r="L62" i="24" s="1"/>
  <c r="L55" i="7" l="1"/>
  <c r="N55" i="7"/>
  <c r="H55" i="7"/>
  <c r="E64" i="7"/>
  <c r="E63" i="7"/>
  <c r="L62" i="7"/>
  <c r="J62" i="7"/>
  <c r="N62" i="7"/>
  <c r="N56" i="7"/>
  <c r="L56" i="7"/>
  <c r="H56" i="7" s="1"/>
  <c r="J5" i="7"/>
  <c r="G5" i="6" s="1"/>
  <c r="I7" i="17" s="1"/>
  <c r="H6" i="7"/>
  <c r="H70" i="7"/>
  <c r="J69" i="7"/>
  <c r="G13" i="6" s="1"/>
  <c r="I12" i="17" s="1"/>
  <c r="J29" i="7"/>
  <c r="H21" i="20"/>
  <c r="J9" i="20"/>
  <c r="L9" i="20" s="1"/>
  <c r="L21" i="20" s="1"/>
  <c r="I30" i="24"/>
  <c r="K42" i="24" s="1"/>
  <c r="L46" i="24" s="1"/>
  <c r="O46" i="24" s="1"/>
  <c r="Q46" i="24" s="1"/>
  <c r="L35" i="7"/>
  <c r="H35" i="7" s="1"/>
  <c r="G35" i="7"/>
  <c r="L27" i="7"/>
  <c r="H27" i="7" s="1"/>
  <c r="G27" i="7"/>
  <c r="G11" i="7"/>
  <c r="L11" i="7"/>
  <c r="H11" i="7" s="1"/>
  <c r="L83" i="7"/>
  <c r="H83" i="7" s="1"/>
  <c r="G83" i="7"/>
  <c r="L10" i="7"/>
  <c r="G10" i="7"/>
  <c r="G66" i="7"/>
  <c r="L66" i="7"/>
  <c r="G26" i="7"/>
  <c r="L26" i="7"/>
  <c r="G42" i="7"/>
  <c r="L42" i="7"/>
  <c r="K16" i="24"/>
  <c r="O16" i="24" s="1"/>
  <c r="R16" i="24" s="1"/>
  <c r="K17" i="24"/>
  <c r="O17" i="24" s="1"/>
  <c r="S17" i="24" s="1"/>
  <c r="K15" i="24"/>
  <c r="O15" i="24" s="1"/>
  <c r="Q15" i="24" s="1"/>
  <c r="L98" i="24"/>
  <c r="O98" i="24" s="1"/>
  <c r="S98" i="24" s="1"/>
  <c r="L96" i="24"/>
  <c r="O96" i="24" s="1"/>
  <c r="Q96" i="24" s="1"/>
  <c r="L97" i="24"/>
  <c r="O97" i="24" s="1"/>
  <c r="R97" i="24" s="1"/>
  <c r="J53" i="7"/>
  <c r="G43" i="7"/>
  <c r="L43" i="7"/>
  <c r="H43" i="7" s="1"/>
  <c r="L59" i="7"/>
  <c r="H59" i="7" s="1"/>
  <c r="G59" i="7"/>
  <c r="G51" i="7"/>
  <c r="L51" i="7"/>
  <c r="H51" i="7" s="1"/>
  <c r="G50" i="7"/>
  <c r="L50" i="7"/>
  <c r="H58" i="7"/>
  <c r="G82" i="7"/>
  <c r="L82" i="7"/>
  <c r="G74" i="7"/>
  <c r="L74" i="7"/>
  <c r="G75" i="7"/>
  <c r="L75" i="7"/>
  <c r="H75" i="7" s="1"/>
  <c r="L34" i="7"/>
  <c r="G34" i="7"/>
  <c r="L67" i="7"/>
  <c r="H67" i="7" s="1"/>
  <c r="G67" i="7"/>
  <c r="L18" i="7"/>
  <c r="G18" i="7"/>
  <c r="J21" i="20"/>
  <c r="I14" i="17"/>
  <c r="I9" i="17"/>
  <c r="G8" i="6"/>
  <c r="J45" i="7"/>
  <c r="K21" i="20"/>
  <c r="G6" i="6"/>
  <c r="K67" i="24"/>
  <c r="O67" i="24" s="1"/>
  <c r="S67" i="24" s="1"/>
  <c r="K65" i="24"/>
  <c r="O65" i="24" s="1"/>
  <c r="Q65" i="24" s="1"/>
  <c r="K66" i="24"/>
  <c r="O66" i="24" s="1"/>
  <c r="R66" i="24" s="1"/>
  <c r="M21" i="20"/>
  <c r="M9" i="7"/>
  <c r="M65" i="7"/>
  <c r="M17" i="7"/>
  <c r="M73" i="7"/>
  <c r="M33" i="7"/>
  <c r="M57" i="7"/>
  <c r="M49" i="7"/>
  <c r="M25" i="7"/>
  <c r="M81" i="7"/>
  <c r="M41" i="7"/>
  <c r="J16" i="17"/>
  <c r="H62" i="7" l="1"/>
  <c r="L63" i="7"/>
  <c r="N63" i="7"/>
  <c r="J63" i="7"/>
  <c r="H63" i="7" s="1"/>
  <c r="L64" i="7"/>
  <c r="J64" i="7"/>
  <c r="H64" i="7" s="1"/>
  <c r="N64" i="7"/>
  <c r="L48" i="24"/>
  <c r="O48" i="24" s="1"/>
  <c r="S48" i="24" s="1"/>
  <c r="T48" i="24" s="1"/>
  <c r="L47" i="24"/>
  <c r="O47" i="24" s="1"/>
  <c r="R47" i="24" s="1"/>
  <c r="N17" i="7"/>
  <c r="G17" i="7"/>
  <c r="H42" i="7"/>
  <c r="L37" i="7"/>
  <c r="J9" i="17"/>
  <c r="H26" i="7"/>
  <c r="L21" i="7"/>
  <c r="J14" i="17"/>
  <c r="H66" i="7"/>
  <c r="L61" i="7"/>
  <c r="N41" i="7"/>
  <c r="G41" i="7"/>
  <c r="Q69" i="24"/>
  <c r="T65" i="24"/>
  <c r="L53" i="7"/>
  <c r="H11" i="6" s="1"/>
  <c r="G11" i="6"/>
  <c r="L77" i="7"/>
  <c r="H82" i="7"/>
  <c r="G73" i="7"/>
  <c r="N73" i="7"/>
  <c r="L69" i="7"/>
  <c r="H74" i="7"/>
  <c r="T97" i="24"/>
  <c r="R99" i="24"/>
  <c r="N25" i="7"/>
  <c r="G25" i="7"/>
  <c r="J7" i="17"/>
  <c r="T96" i="24"/>
  <c r="Q99" i="24"/>
  <c r="J12" i="17"/>
  <c r="H50" i="7"/>
  <c r="L45" i="7"/>
  <c r="H10" i="6" s="1"/>
  <c r="Q19" i="24"/>
  <c r="T15" i="24"/>
  <c r="N65" i="7"/>
  <c r="G65" i="7"/>
  <c r="N9" i="7"/>
  <c r="G9" i="7"/>
  <c r="T66" i="24"/>
  <c r="R69" i="24"/>
  <c r="R100" i="24" s="1"/>
  <c r="G81" i="7"/>
  <c r="N81" i="7"/>
  <c r="T67" i="24"/>
  <c r="S69" i="24"/>
  <c r="H18" i="7"/>
  <c r="L13" i="7"/>
  <c r="N49" i="7"/>
  <c r="G49" i="7"/>
  <c r="I13" i="17"/>
  <c r="I8" i="17"/>
  <c r="I17" i="17"/>
  <c r="T98" i="24"/>
  <c r="S99" i="24"/>
  <c r="N57" i="7"/>
  <c r="G57" i="7"/>
  <c r="G33" i="7"/>
  <c r="N33" i="7"/>
  <c r="G10" i="6"/>
  <c r="L29" i="7"/>
  <c r="H34" i="7"/>
  <c r="S19" i="24"/>
  <c r="T17" i="24"/>
  <c r="L5" i="7"/>
  <c r="H10" i="7"/>
  <c r="R49" i="24"/>
  <c r="T47" i="24"/>
  <c r="T16" i="24"/>
  <c r="R19" i="24"/>
  <c r="Q49" i="24"/>
  <c r="T46" i="24"/>
  <c r="J61" i="7" l="1"/>
  <c r="G12" i="6" s="1"/>
  <c r="I11" i="17" s="1"/>
  <c r="J11" i="17" s="1"/>
  <c r="S49" i="24"/>
  <c r="S50" i="24" s="1"/>
  <c r="M86" i="7" s="1"/>
  <c r="N86" i="7" s="1"/>
  <c r="N85" i="7" s="1"/>
  <c r="I15" i="6" s="1"/>
  <c r="M21" i="17" s="1"/>
  <c r="N21" i="17" s="1"/>
  <c r="N20" i="17" s="1"/>
  <c r="R50" i="24"/>
  <c r="K86" i="7" s="1"/>
  <c r="L86" i="7" s="1"/>
  <c r="L85" i="7" s="1"/>
  <c r="H15" i="6" s="1"/>
  <c r="K21" i="17" s="1"/>
  <c r="L21" i="17" s="1"/>
  <c r="L20" i="17" s="1"/>
  <c r="H5" i="6"/>
  <c r="J17" i="17"/>
  <c r="J8" i="17"/>
  <c r="H8" i="6"/>
  <c r="N69" i="7"/>
  <c r="I13" i="6" s="1"/>
  <c r="M12" i="17" s="1"/>
  <c r="N12" i="17" s="1"/>
  <c r="H73" i="7"/>
  <c r="J13" i="17"/>
  <c r="Q100" i="24"/>
  <c r="T99" i="24"/>
  <c r="H9" i="7"/>
  <c r="N5" i="7"/>
  <c r="I5" i="6" s="1"/>
  <c r="M7" i="17" s="1"/>
  <c r="N7" i="17" s="1"/>
  <c r="H14" i="6"/>
  <c r="H7" i="6"/>
  <c r="H33" i="7"/>
  <c r="N29" i="7"/>
  <c r="I8" i="6" s="1"/>
  <c r="H6" i="6"/>
  <c r="H65" i="7"/>
  <c r="N61" i="7"/>
  <c r="I12" i="6" s="1"/>
  <c r="M11" i="17" s="1"/>
  <c r="N11" i="17" s="1"/>
  <c r="K15" i="17"/>
  <c r="L15" i="17" s="1"/>
  <c r="K10" i="17"/>
  <c r="L10" i="17" s="1"/>
  <c r="N21" i="7"/>
  <c r="I7" i="6" s="1"/>
  <c r="H25" i="7"/>
  <c r="Q50" i="24"/>
  <c r="I86" i="7" s="1"/>
  <c r="T49" i="24"/>
  <c r="H49" i="7"/>
  <c r="N45" i="7"/>
  <c r="I10" i="6" s="1"/>
  <c r="F10" i="6" s="1"/>
  <c r="I15" i="17"/>
  <c r="I10" i="17"/>
  <c r="S100" i="24"/>
  <c r="N53" i="7"/>
  <c r="H57" i="7"/>
  <c r="T69" i="24"/>
  <c r="H9" i="6"/>
  <c r="N77" i="7"/>
  <c r="I14" i="6" s="1"/>
  <c r="M16" i="17" s="1"/>
  <c r="N16" i="17" s="1"/>
  <c r="H81" i="7"/>
  <c r="T19" i="24"/>
  <c r="H41" i="7"/>
  <c r="N37" i="7"/>
  <c r="I9" i="6" s="1"/>
  <c r="H13" i="6"/>
  <c r="H12" i="6"/>
  <c r="N13" i="7"/>
  <c r="I6" i="6" s="1"/>
  <c r="H17" i="7"/>
  <c r="T100" i="24" l="1"/>
  <c r="T50" i="24"/>
  <c r="H69" i="7"/>
  <c r="H77" i="7"/>
  <c r="H61" i="7"/>
  <c r="H29" i="7"/>
  <c r="F8" i="6"/>
  <c r="M13" i="17"/>
  <c r="N13" i="17" s="1"/>
  <c r="M8" i="17"/>
  <c r="N8" i="17" s="1"/>
  <c r="M17" i="17"/>
  <c r="N17" i="17" s="1"/>
  <c r="K11" i="17"/>
  <c r="F12" i="6"/>
  <c r="I11" i="6"/>
  <c r="H53" i="7"/>
  <c r="K9" i="17"/>
  <c r="K14" i="17"/>
  <c r="F7" i="6"/>
  <c r="J15" i="17"/>
  <c r="H13" i="7"/>
  <c r="K12" i="17"/>
  <c r="F13" i="6"/>
  <c r="K8" i="17"/>
  <c r="K17" i="17"/>
  <c r="K13" i="17"/>
  <c r="F6" i="6"/>
  <c r="H45" i="7"/>
  <c r="H21" i="7"/>
  <c r="K16" i="17"/>
  <c r="F14" i="6"/>
  <c r="J10" i="17"/>
  <c r="H37" i="7"/>
  <c r="G86" i="7"/>
  <c r="J86" i="7"/>
  <c r="H5" i="7"/>
  <c r="M9" i="17"/>
  <c r="N9" i="17" s="1"/>
  <c r="M14" i="17"/>
  <c r="N14" i="17" s="1"/>
  <c r="F9" i="6"/>
  <c r="K7" i="17"/>
  <c r="F5" i="6"/>
  <c r="L14" i="17" l="1"/>
  <c r="H14" i="17" s="1"/>
  <c r="G14" i="17"/>
  <c r="L9" i="17"/>
  <c r="H9" i="17" s="1"/>
  <c r="G9" i="17"/>
  <c r="L13" i="17"/>
  <c r="H13" i="17" s="1"/>
  <c r="G13" i="17"/>
  <c r="J85" i="7"/>
  <c r="H86" i="7"/>
  <c r="L17" i="17"/>
  <c r="H17" i="17" s="1"/>
  <c r="G17" i="17"/>
  <c r="L8" i="17"/>
  <c r="H8" i="17" s="1"/>
  <c r="G8" i="17"/>
  <c r="M10" i="17"/>
  <c r="M15" i="17"/>
  <c r="F11" i="6"/>
  <c r="J6" i="17"/>
  <c r="L12" i="17"/>
  <c r="H12" i="17" s="1"/>
  <c r="G12" i="17"/>
  <c r="L11" i="17"/>
  <c r="H11" i="17" s="1"/>
  <c r="G11" i="17"/>
  <c r="L7" i="17"/>
  <c r="G7" i="17"/>
  <c r="L16" i="17"/>
  <c r="H16" i="17" s="1"/>
  <c r="G16" i="17"/>
  <c r="H85" i="7" l="1"/>
  <c r="G15" i="6"/>
  <c r="N15" i="17"/>
  <c r="H15" i="17" s="1"/>
  <c r="G15" i="17"/>
  <c r="L6" i="17"/>
  <c r="L24" i="17" s="1"/>
  <c r="G5" i="22" s="1"/>
  <c r="H7" i="17"/>
  <c r="N10" i="17"/>
  <c r="G10" i="17"/>
  <c r="N6" i="17" l="1"/>
  <c r="N24" i="17" s="1"/>
  <c r="K5" i="22" s="1"/>
  <c r="K6" i="22" s="1"/>
  <c r="D10" i="23" s="1"/>
  <c r="H10" i="17"/>
  <c r="H6" i="17" s="1"/>
  <c r="G6" i="22"/>
  <c r="I21" i="17"/>
  <c r="F15" i="6"/>
  <c r="G20" i="22" l="1"/>
  <c r="J21" i="17"/>
  <c r="G21" i="17"/>
  <c r="D4" i="23"/>
  <c r="D6" i="23" s="1"/>
  <c r="J20" i="17" l="1"/>
  <c r="J24" i="17" s="1"/>
  <c r="H21" i="17"/>
  <c r="H20" i="17" s="1"/>
  <c r="H24" i="17" s="1"/>
  <c r="I6" i="22" l="1"/>
  <c r="I5" i="22"/>
  <c r="E5" i="22" s="1"/>
  <c r="E7" i="22" l="1"/>
  <c r="E9" i="22" s="1"/>
  <c r="E13" i="22"/>
  <c r="E11" i="22"/>
  <c r="E10" i="22"/>
  <c r="E17" i="22"/>
  <c r="E16" i="22"/>
  <c r="E14" i="22"/>
  <c r="E19" i="22"/>
  <c r="D7" i="23"/>
  <c r="E6" i="22"/>
  <c r="D20" i="23" l="1"/>
  <c r="K17" i="22"/>
  <c r="E28" i="22"/>
  <c r="E29" i="22" s="1"/>
  <c r="E18" i="22"/>
  <c r="K14" i="22"/>
  <c r="D17" i="23"/>
  <c r="K9" i="22"/>
  <c r="D12" i="23"/>
  <c r="K13" i="22"/>
  <c r="D16" i="23"/>
  <c r="K19" i="22"/>
  <c r="D22" i="23"/>
  <c r="D19" i="23"/>
  <c r="K16" i="22"/>
  <c r="D13" i="23"/>
  <c r="E12" i="22"/>
  <c r="K10" i="22"/>
  <c r="D14" i="23"/>
  <c r="K11" i="22"/>
  <c r="E15" i="22"/>
  <c r="D8" i="23"/>
  <c r="D9" i="23" s="1"/>
  <c r="I7" i="22"/>
  <c r="I20" i="22" s="1"/>
  <c r="E8" i="22"/>
  <c r="E20" i="22" s="1"/>
  <c r="K15" i="22" l="1"/>
  <c r="D18" i="23"/>
  <c r="K12" i="22"/>
  <c r="D15" i="23"/>
  <c r="K8" i="22"/>
  <c r="D11" i="23"/>
  <c r="K18" i="22"/>
  <c r="D21" i="23"/>
  <c r="D23" i="23" l="1"/>
  <c r="D24" i="23" s="1"/>
  <c r="K20" i="22"/>
  <c r="E21" i="22"/>
  <c r="D25" i="23" s="1"/>
  <c r="E22" i="22" l="1"/>
  <c r="D26" i="23" s="1"/>
  <c r="D27" i="23" s="1"/>
  <c r="D29" i="23" s="1"/>
  <c r="D30" i="23" s="1"/>
  <c r="D31" i="23" s="1"/>
  <c r="E24" i="22" l="1"/>
  <c r="E25" i="22" s="1"/>
  <c r="E26" i="22" s="1"/>
</calcChain>
</file>

<file path=xl/sharedStrings.xml><?xml version="1.0" encoding="utf-8"?>
<sst xmlns="http://schemas.openxmlformats.org/spreadsheetml/2006/main" count="1139" uniqueCount="485">
  <si>
    <t>단  가</t>
  </si>
  <si>
    <t>단  가</t>
  </si>
  <si>
    <t>휘발유</t>
  </si>
  <si>
    <t>비     고</t>
  </si>
  <si>
    <t>수 량</t>
  </si>
  <si>
    <t>벌 목 부</t>
  </si>
  <si>
    <t>보통인부</t>
  </si>
  <si>
    <t>경    비</t>
  </si>
  <si>
    <t>화물차운전사</t>
  </si>
  <si>
    <t>구분</t>
  </si>
  <si>
    <t>일위대가</t>
  </si>
  <si>
    <t>내역서</t>
  </si>
  <si>
    <t>물가정보</t>
  </si>
  <si>
    <t>기계경비</t>
  </si>
  <si>
    <t>최저단가</t>
  </si>
  <si>
    <t>비   고</t>
  </si>
  <si>
    <t>조 경 공</t>
  </si>
  <si>
    <t>￦×</t>
  </si>
  <si>
    <t>주</t>
  </si>
  <si>
    <t>단가4</t>
  </si>
  <si>
    <t>건설기계운전사</t>
  </si>
  <si>
    <t>비    고</t>
  </si>
  <si>
    <t>No</t>
  </si>
  <si>
    <t>견적가1</t>
  </si>
  <si>
    <t>1</t>
  </si>
  <si>
    <t>휘 발 유</t>
  </si>
  <si>
    <t>거래가격</t>
  </si>
  <si>
    <t>적용일자</t>
  </si>
  <si>
    <t>자재단가</t>
  </si>
  <si>
    <t>단위</t>
  </si>
  <si>
    <t>석유공사</t>
  </si>
  <si>
    <t>단가1</t>
  </si>
  <si>
    <t>단가5</t>
  </si>
  <si>
    <t>가격정보</t>
  </si>
  <si>
    <t>기계경비총괄표</t>
  </si>
  <si>
    <t>1.</t>
  </si>
  <si>
    <t>적용방법</t>
  </si>
  <si>
    <t>금   액</t>
  </si>
  <si>
    <t>계</t>
  </si>
  <si>
    <t>비</t>
  </si>
  <si>
    <t>가솔린용</t>
  </si>
  <si>
    <t>재료비</t>
  </si>
  <si>
    <t>재료비</t>
  </si>
  <si>
    <t>당초합계</t>
  </si>
  <si>
    <t>일위대가총괄표</t>
  </si>
  <si>
    <t>품    명</t>
  </si>
  <si>
    <t>손  료</t>
  </si>
  <si>
    <t>당초경비</t>
  </si>
  <si>
    <t>단가2</t>
  </si>
  <si>
    <t>명    칭</t>
  </si>
  <si>
    <t>단가6</t>
  </si>
  <si>
    <t>당초노무비</t>
  </si>
  <si>
    <t>호  표</t>
  </si>
  <si>
    <t>hr</t>
  </si>
  <si>
    <t>유통물가</t>
  </si>
  <si>
    <t>엔진오일 sk, zic-A</t>
  </si>
  <si>
    <t>노임단가</t>
  </si>
  <si>
    <t>규   격</t>
  </si>
  <si>
    <t>ℓ</t>
  </si>
  <si>
    <t>ℓ</t>
  </si>
  <si>
    <t>적용단가</t>
  </si>
  <si>
    <t>×</t>
  </si>
  <si>
    <t>노무비</t>
  </si>
  <si>
    <t>page</t>
  </si>
  <si>
    <t>10(-7)</t>
  </si>
  <si>
    <t>2019-01-01</t>
  </si>
  <si>
    <t>2019-01-01</t>
  </si>
  <si>
    <t>인</t>
  </si>
  <si>
    <t>인</t>
  </si>
  <si>
    <t>단가3</t>
  </si>
  <si>
    <t>물가자료</t>
  </si>
  <si>
    <t>품     명</t>
  </si>
  <si>
    <t>합    계</t>
  </si>
  <si>
    <t>일반</t>
  </si>
  <si>
    <t>산   출   근   거</t>
  </si>
  <si>
    <t>일반</t>
  </si>
  <si>
    <t>당초재료비</t>
  </si>
  <si>
    <t>공종</t>
  </si>
  <si>
    <t/>
  </si>
  <si>
    <t>가로수 이식공사</t>
    <phoneticPr fontId="2" type="noConversion"/>
  </si>
  <si>
    <t>주</t>
    <phoneticPr fontId="2" type="noConversion"/>
  </si>
  <si>
    <t>주</t>
    <phoneticPr fontId="2" type="noConversion"/>
  </si>
  <si>
    <t>기계톱손료</t>
    <phoneticPr fontId="2" type="noConversion"/>
  </si>
  <si>
    <t>1. 기계톱손료</t>
  </si>
  <si>
    <t>수목제거</t>
    <phoneticPr fontId="2" type="noConversion"/>
  </si>
  <si>
    <t>벌목부</t>
  </si>
  <si>
    <t>벌근</t>
    <phoneticPr fontId="2" type="noConversion"/>
  </si>
  <si>
    <t>벌목보조</t>
    <phoneticPr fontId="2" type="noConversion"/>
  </si>
  <si>
    <t>기계톱손료</t>
  </si>
  <si>
    <t>제1호표</t>
    <phoneticPr fontId="2" type="noConversion"/>
  </si>
  <si>
    <t>제2호표</t>
    <phoneticPr fontId="2" type="noConversion"/>
  </si>
  <si>
    <t>B=36~40(R=43~48)</t>
    <phoneticPr fontId="2" type="noConversion"/>
  </si>
  <si>
    <t>B=41~45(R=49~54)</t>
    <phoneticPr fontId="2" type="noConversion"/>
  </si>
  <si>
    <t>B=46~50(R=55~60)</t>
    <phoneticPr fontId="2" type="noConversion"/>
  </si>
  <si>
    <t>- 식 -</t>
    <phoneticPr fontId="2" type="noConversion"/>
  </si>
  <si>
    <t>흉고직경</t>
    <phoneticPr fontId="2" type="noConversion"/>
  </si>
  <si>
    <t>수관폭</t>
    <phoneticPr fontId="2" type="noConversion"/>
  </si>
  <si>
    <t>지상부</t>
    <phoneticPr fontId="2" type="noConversion"/>
  </si>
  <si>
    <t>(H)</t>
    <phoneticPr fontId="2" type="noConversion"/>
  </si>
  <si>
    <t>(B)</t>
    <phoneticPr fontId="2" type="noConversion"/>
  </si>
  <si>
    <t>Bx1.2</t>
    <phoneticPr fontId="2" type="noConversion"/>
  </si>
  <si>
    <t>W1 x 분배비</t>
    <phoneticPr fontId="2" type="noConversion"/>
  </si>
  <si>
    <t>W1+W2</t>
    <phoneticPr fontId="2" type="noConversion"/>
  </si>
  <si>
    <t xml:space="preserve"> m</t>
    <phoneticPr fontId="2" type="noConversion"/>
  </si>
  <si>
    <t>m</t>
    <phoneticPr fontId="2" type="noConversion"/>
  </si>
  <si>
    <t>지하부 중량(W2) = W1x분배비</t>
    <phoneticPr fontId="2" type="noConversion"/>
  </si>
  <si>
    <t>1,340kg/㎥ 이상</t>
  </si>
  <si>
    <t>가시나무류, 감탕나무, 상수리나무, 소귀나무, 졸참나무, 호랑가시나 무, 회양목 등</t>
  </si>
  <si>
    <t>1,300∼1,340kg/㎥</t>
  </si>
  <si>
    <t>느티나무, 말발도리, 목련, 빗죽이나무, 사스레피나무, 쪽동백, 참느 릅나무 등</t>
  </si>
  <si>
    <t>1,250∼1,300kg/㎥</t>
  </si>
  <si>
    <t>굴거리나무, 단풍나무, 산벗나무, 은행나무, 일본잎갈나무, 향나무, 곰솔 등</t>
  </si>
  <si>
    <t>1,210∼1,250kg/㎥</t>
  </si>
  <si>
    <t xml:space="preserve">모밀잣밤나무, 벽오동, 소나무, 칠엽수, 편백, 플라타너스 등 </t>
  </si>
  <si>
    <t>1,170∼1,210kg/㎥</t>
  </si>
  <si>
    <t>가문비나무, 녹나무, 삼나무, 왜금송, 일본목련 등</t>
  </si>
  <si>
    <t>1,170 kg/㎥ 이하</t>
  </si>
  <si>
    <t>굴피나무, 화백 등</t>
  </si>
  <si>
    <t>1,200kg/㎥</t>
  </si>
  <si>
    <t>기타 수목</t>
  </si>
  <si>
    <t>총괄내역서</t>
    <phoneticPr fontId="2" type="noConversion"/>
  </si>
  <si>
    <t>공  종</t>
  </si>
  <si>
    <t>규격</t>
    <phoneticPr fontId="6" type="noConversion"/>
  </si>
  <si>
    <t>합계</t>
    <phoneticPr fontId="6" type="noConversion"/>
  </si>
  <si>
    <t>재료비</t>
    <phoneticPr fontId="7" type="noConversion"/>
  </si>
  <si>
    <t>노무비</t>
    <phoneticPr fontId="7" type="noConversion"/>
  </si>
  <si>
    <t>비 고</t>
  </si>
  <si>
    <t>금  액</t>
  </si>
  <si>
    <t>1. 순공사비</t>
    <phoneticPr fontId="6" type="noConversion"/>
  </si>
  <si>
    <t>식</t>
    <phoneticPr fontId="6" type="noConversion"/>
  </si>
  <si>
    <t>소계</t>
    <phoneticPr fontId="6" type="noConversion"/>
  </si>
  <si>
    <t xml:space="preserve">공  사  원  가  계  산  서 </t>
    <phoneticPr fontId="8" type="noConversion"/>
  </si>
  <si>
    <t>비               목</t>
  </si>
  <si>
    <t>금            액</t>
  </si>
  <si>
    <t>구        성        비</t>
  </si>
  <si>
    <t>비        고</t>
  </si>
  <si>
    <t>재</t>
  </si>
  <si>
    <t>직 접 재 료 비</t>
    <phoneticPr fontId="8" type="noConversion"/>
  </si>
  <si>
    <t>료</t>
  </si>
  <si>
    <t>간 접 재 료 비</t>
  </si>
  <si>
    <t>소             계</t>
  </si>
  <si>
    <t>순</t>
  </si>
  <si>
    <t>노</t>
  </si>
  <si>
    <t>직 접 노 무 비</t>
  </si>
  <si>
    <t>무</t>
  </si>
  <si>
    <t>간 접 노 무 비</t>
  </si>
  <si>
    <t>공</t>
  </si>
  <si>
    <t>기  계  경  비</t>
  </si>
  <si>
    <t>사</t>
  </si>
  <si>
    <t>산 재 보 험 료</t>
  </si>
  <si>
    <t>경</t>
    <phoneticPr fontId="8" type="noConversion"/>
  </si>
  <si>
    <t>고 용 보 험 료</t>
    <phoneticPr fontId="8" type="noConversion"/>
  </si>
  <si>
    <t>원</t>
  </si>
  <si>
    <t>건 강 보 험 료</t>
    <phoneticPr fontId="8" type="noConversion"/>
  </si>
  <si>
    <t>연 금 보 험 료</t>
    <phoneticPr fontId="8" type="noConversion"/>
  </si>
  <si>
    <t>가</t>
    <phoneticPr fontId="8" type="noConversion"/>
  </si>
  <si>
    <t>비</t>
    <phoneticPr fontId="8" type="noConversion"/>
  </si>
  <si>
    <t>산업안전보건관리비</t>
    <phoneticPr fontId="8" type="noConversion"/>
  </si>
  <si>
    <t>건설기계대여대금지급보증서발급</t>
    <phoneticPr fontId="8" type="noConversion"/>
  </si>
  <si>
    <t>환경보전비</t>
    <phoneticPr fontId="6" type="noConversion"/>
  </si>
  <si>
    <t>기  타   경  비</t>
    <phoneticPr fontId="8" type="noConversion"/>
  </si>
  <si>
    <t>소              계</t>
    <phoneticPr fontId="8" type="noConversion"/>
  </si>
  <si>
    <t>일  반  관  리  비</t>
  </si>
  <si>
    <t>이                 윤</t>
    <phoneticPr fontId="8" type="noConversion"/>
  </si>
  <si>
    <t>공    급    가   액</t>
    <phoneticPr fontId="8" type="noConversion"/>
  </si>
  <si>
    <t>폐 기 물  처 리 비</t>
    <phoneticPr fontId="8" type="noConversion"/>
  </si>
  <si>
    <t>부  가  가  치  세</t>
    <phoneticPr fontId="8" type="noConversion"/>
  </si>
  <si>
    <t>(공급가액+폐기물 처리비)×10%</t>
    <phoneticPr fontId="8" type="noConversion"/>
  </si>
  <si>
    <t>도  급  예  정  액</t>
    <phoneticPr fontId="8" type="noConversion"/>
  </si>
  <si>
    <t>총   공     사   비</t>
    <phoneticPr fontId="8" type="noConversion"/>
  </si>
  <si>
    <t>B=56~60(R=67~72)</t>
    <phoneticPr fontId="2" type="noConversion"/>
  </si>
  <si>
    <t>B=66~70(R=79~84)</t>
    <phoneticPr fontId="2" type="noConversion"/>
  </si>
  <si>
    <t>B=71~75(R=85~90)</t>
    <phoneticPr fontId="2" type="noConversion"/>
  </si>
  <si>
    <t>제3호표</t>
    <phoneticPr fontId="2" type="noConversion"/>
  </si>
  <si>
    <t>제5호표</t>
    <phoneticPr fontId="2" type="noConversion"/>
  </si>
  <si>
    <t>제6호표</t>
    <phoneticPr fontId="2" type="noConversion"/>
  </si>
  <si>
    <t>R=45</t>
    <phoneticPr fontId="2" type="noConversion"/>
  </si>
  <si>
    <t>R=50</t>
    <phoneticPr fontId="2" type="noConversion"/>
  </si>
  <si>
    <t>R=55</t>
    <phoneticPr fontId="2" type="noConversion"/>
  </si>
  <si>
    <t>R=80</t>
    <phoneticPr fontId="2" type="noConversion"/>
  </si>
  <si>
    <t>R=85</t>
    <phoneticPr fontId="2" type="noConversion"/>
  </si>
  <si>
    <t>2021년(하)</t>
    <phoneticPr fontId="2" type="noConversion"/>
  </si>
  <si>
    <t>2021년(하)</t>
    <phoneticPr fontId="2" type="noConversion"/>
  </si>
  <si>
    <t>2021_하반기_노임단가</t>
    <phoneticPr fontId="2" type="noConversion"/>
  </si>
  <si>
    <t>잣나무</t>
    <phoneticPr fontId="2" type="noConversion"/>
  </si>
  <si>
    <t>하37(21.7)</t>
    <phoneticPr fontId="2" type="noConversion"/>
  </si>
  <si>
    <t>하32(21.7)</t>
    <phoneticPr fontId="2" type="noConversion"/>
  </si>
  <si>
    <t>B=51~55(R=61~66)</t>
    <phoneticPr fontId="2" type="noConversion"/>
  </si>
  <si>
    <t>B=61~65(R=67~72)</t>
    <phoneticPr fontId="2" type="noConversion"/>
  </si>
  <si>
    <t>제4호표</t>
    <phoneticPr fontId="2" type="noConversion"/>
  </si>
  <si>
    <t>제7호표</t>
    <phoneticPr fontId="2" type="noConversion"/>
  </si>
  <si>
    <t>제8호표</t>
    <phoneticPr fontId="2" type="noConversion"/>
  </si>
  <si>
    <t>제9호표</t>
    <phoneticPr fontId="2" type="noConversion"/>
  </si>
  <si>
    <t>B=29~30(R=35~36)</t>
    <phoneticPr fontId="2" type="noConversion"/>
  </si>
  <si>
    <t>B=31~35(R=37~42)</t>
    <phoneticPr fontId="2" type="noConversion"/>
  </si>
  <si>
    <t>제10호표</t>
    <phoneticPr fontId="2" type="noConversion"/>
  </si>
  <si>
    <t>제11호표</t>
    <phoneticPr fontId="2" type="noConversion"/>
  </si>
  <si>
    <t>R=40</t>
    <phoneticPr fontId="2" type="noConversion"/>
  </si>
  <si>
    <t>R=50</t>
    <phoneticPr fontId="2" type="noConversion"/>
  </si>
  <si>
    <t>R=35</t>
    <phoneticPr fontId="2" type="noConversion"/>
  </si>
  <si>
    <t>R=50</t>
    <phoneticPr fontId="2" type="noConversion"/>
  </si>
  <si>
    <t>R=60</t>
    <phoneticPr fontId="2" type="noConversion"/>
  </si>
  <si>
    <t>R=80</t>
    <phoneticPr fontId="2" type="noConversion"/>
  </si>
  <si>
    <t>수목제거공사</t>
    <phoneticPr fontId="2" type="noConversion"/>
  </si>
  <si>
    <t>리기다소나무 제거</t>
    <phoneticPr fontId="2" type="noConversion"/>
  </si>
  <si>
    <t>리기다소나무 제거</t>
    <phoneticPr fontId="2" type="noConversion"/>
  </si>
  <si>
    <t>잣나무 제거</t>
    <phoneticPr fontId="2" type="noConversion"/>
  </si>
  <si>
    <t>아카시아 제거</t>
    <phoneticPr fontId="2" type="noConversion"/>
  </si>
  <si>
    <t>아카시아 제거</t>
    <phoneticPr fontId="2" type="noConversion"/>
  </si>
  <si>
    <t>참나무 제거</t>
    <phoneticPr fontId="2" type="noConversion"/>
  </si>
  <si>
    <t>▣ 임목폐기물 처리(뿌리 등)</t>
    <phoneticPr fontId="2" type="noConversion"/>
  </si>
  <si>
    <t>공종</t>
    <phoneticPr fontId="2" type="noConversion"/>
  </si>
  <si>
    <t>규격</t>
    <phoneticPr fontId="2" type="noConversion"/>
  </si>
  <si>
    <t>수량</t>
    <phoneticPr fontId="2" type="noConversion"/>
  </si>
  <si>
    <t>임목폐기물 수량</t>
    <phoneticPr fontId="2" type="noConversion"/>
  </si>
  <si>
    <t>수고</t>
    <phoneticPr fontId="2" type="noConversion"/>
  </si>
  <si>
    <t>근원직경</t>
    <phoneticPr fontId="2" type="noConversion"/>
  </si>
  <si>
    <t>뿌리분의직경</t>
    <phoneticPr fontId="2" type="noConversion"/>
  </si>
  <si>
    <t>지하부</t>
    <phoneticPr fontId="2" type="noConversion"/>
  </si>
  <si>
    <t>계</t>
    <phoneticPr fontId="2" type="noConversion"/>
  </si>
  <si>
    <t>(R)</t>
    <phoneticPr fontId="2" type="noConversion"/>
  </si>
  <si>
    <t>(W)</t>
    <phoneticPr fontId="2" type="noConversion"/>
  </si>
  <si>
    <t>(D)</t>
    <phoneticPr fontId="2" type="noConversion"/>
  </si>
  <si>
    <t>(W1)</t>
    <phoneticPr fontId="2" type="noConversion"/>
  </si>
  <si>
    <t>(W2)</t>
    <phoneticPr fontId="2" type="noConversion"/>
  </si>
  <si>
    <t>W</t>
    <phoneticPr fontId="2" type="noConversion"/>
  </si>
  <si>
    <t>R/1.2</t>
    <phoneticPr fontId="2" type="noConversion"/>
  </si>
  <si>
    <t>24+(N-3)xd</t>
    <phoneticPr fontId="2" type="noConversion"/>
  </si>
  <si>
    <t>kxπx(B/2)²xHxw1x(1+P)</t>
    <phoneticPr fontId="2" type="noConversion"/>
  </si>
  <si>
    <t>cm</t>
    <phoneticPr fontId="2" type="noConversion"/>
  </si>
  <si>
    <t>주</t>
    <phoneticPr fontId="2" type="noConversion"/>
  </si>
  <si>
    <t>Ton</t>
    <phoneticPr fontId="2" type="noConversion"/>
  </si>
  <si>
    <t>m3</t>
    <phoneticPr fontId="2" type="noConversion"/>
  </si>
  <si>
    <t>Ton</t>
    <phoneticPr fontId="2" type="noConversion"/>
  </si>
  <si>
    <t>m3</t>
    <phoneticPr fontId="2" type="noConversion"/>
  </si>
  <si>
    <t>리기다소나무</t>
    <phoneticPr fontId="2" type="noConversion"/>
  </si>
  <si>
    <t>리기다소나무</t>
    <phoneticPr fontId="2" type="noConversion"/>
  </si>
  <si>
    <t>잣나무</t>
    <phoneticPr fontId="2" type="noConversion"/>
  </si>
  <si>
    <t>잣나무</t>
    <phoneticPr fontId="2" type="noConversion"/>
  </si>
  <si>
    <t>아카시아</t>
    <phoneticPr fontId="2" type="noConversion"/>
  </si>
  <si>
    <t>아카시아</t>
    <phoneticPr fontId="2" type="noConversion"/>
  </si>
  <si>
    <t>아카시아</t>
    <phoneticPr fontId="2" type="noConversion"/>
  </si>
  <si>
    <t>참나무</t>
    <phoneticPr fontId="2" type="noConversion"/>
  </si>
  <si>
    <t>참나무</t>
    <phoneticPr fontId="2" type="noConversion"/>
  </si>
  <si>
    <t>[ 소계 ]</t>
    <phoneticPr fontId="2" type="noConversion"/>
  </si>
  <si>
    <t>▣ 적 용 산 식</t>
    <phoneticPr fontId="2" type="noConversion"/>
  </si>
  <si>
    <t xml:space="preserve">  ▶ 나무전체의 중량 = 지상부 중량(W1) + 지하부 중량(W2)</t>
    <phoneticPr fontId="2" type="noConversion"/>
  </si>
  <si>
    <t>지상부 중량(W1) = kxπx(B/2)²xHxw1x(1+P)</t>
    <phoneticPr fontId="2" type="noConversion"/>
  </si>
  <si>
    <t>k : 수간형상계수 (0.5)</t>
    <phoneticPr fontId="2" type="noConversion"/>
  </si>
  <si>
    <t>잣나무분배비 : 9/91</t>
    <phoneticPr fontId="2" type="noConversion"/>
  </si>
  <si>
    <t>B : 흉고직경(m)</t>
    <phoneticPr fontId="2" type="noConversion"/>
  </si>
  <si>
    <t>리기다소나무분배비 : 9/91</t>
    <phoneticPr fontId="2" type="noConversion"/>
  </si>
  <si>
    <t>H : 수고(m)</t>
    <phoneticPr fontId="2" type="noConversion"/>
  </si>
  <si>
    <t>w1 : 수간의 단위체적당 중량 (ton/㎥)</t>
    <phoneticPr fontId="2" type="noConversion"/>
  </si>
  <si>
    <t>P : 지엽의 과다에 따른 보합율 (임목 0.3, 고립목 1.0)</t>
    <phoneticPr fontId="2" type="noConversion"/>
  </si>
  <si>
    <t xml:space="preserve">  ▶ 수종별 단위중량</t>
    <phoneticPr fontId="2" type="noConversion"/>
  </si>
  <si>
    <t>중 량 기 준</t>
    <phoneticPr fontId="2" type="noConversion"/>
  </si>
  <si>
    <t>적  용  수  목</t>
    <phoneticPr fontId="2" type="noConversion"/>
  </si>
  <si>
    <t xml:space="preserve">  ▶ 산림생태학의 분배비</t>
    <phoneticPr fontId="2" type="noConversion"/>
  </si>
  <si>
    <t>구 분</t>
    <phoneticPr fontId="2" type="noConversion"/>
  </si>
  <si>
    <t>줄기</t>
    <phoneticPr fontId="2" type="noConversion"/>
  </si>
  <si>
    <t>가지</t>
    <phoneticPr fontId="2" type="noConversion"/>
  </si>
  <si>
    <t>잎</t>
    <phoneticPr fontId="2" type="noConversion"/>
  </si>
  <si>
    <t>뿌리</t>
    <phoneticPr fontId="2" type="noConversion"/>
  </si>
  <si>
    <t>침엽수류</t>
    <phoneticPr fontId="2" type="noConversion"/>
  </si>
  <si>
    <t>활엽수류</t>
    <phoneticPr fontId="2" type="noConversion"/>
  </si>
  <si>
    <t>집재 및 소운반</t>
    <phoneticPr fontId="2" type="noConversion"/>
  </si>
  <si>
    <t>단  가  산  출  조  서</t>
  </si>
  <si>
    <t xml:space="preserve">  (2017년개정 건설표준품셈 p.394 (9-7 덤프트럭)</t>
    <phoneticPr fontId="4" type="noConversion"/>
  </si>
  <si>
    <t xml:space="preserve"> (단위 : 원)</t>
  </si>
  <si>
    <t>공   종</t>
  </si>
  <si>
    <t>산    출     근      거</t>
  </si>
  <si>
    <t>경  비</t>
  </si>
  <si>
    <t>비고</t>
  </si>
  <si>
    <t>노란색</t>
    <phoneticPr fontId="9" type="noConversion"/>
  </si>
  <si>
    <t>입력 : 장비 계수 → 건설품셈</t>
    <phoneticPr fontId="9" type="noConversion"/>
  </si>
  <si>
    <t>운반</t>
    <phoneticPr fontId="9" type="noConversion"/>
  </si>
  <si>
    <t xml:space="preserve"> 1. 상차 : 굴삭기+부착용집게( 0.2㎥급 )/㎥</t>
    <phoneticPr fontId="2" type="noConversion"/>
  </si>
  <si>
    <t>파란색</t>
    <phoneticPr fontId="9" type="noConversion"/>
  </si>
  <si>
    <t>입력 : 상황따라  → 건설품셈</t>
    <phoneticPr fontId="9" type="noConversion"/>
  </si>
  <si>
    <t>qs=</t>
    <phoneticPr fontId="2" type="noConversion"/>
  </si>
  <si>
    <t xml:space="preserve">    ㅇ 작업조건</t>
  </si>
  <si>
    <t>고사목
제거</t>
    <phoneticPr fontId="4" type="noConversion"/>
  </si>
  <si>
    <t xml:space="preserve"> k =</t>
  </si>
  <si>
    <t>f=</t>
    <phoneticPr fontId="2" type="noConversion"/>
  </si>
  <si>
    <t xml:space="preserve"> Es =</t>
    <phoneticPr fontId="2" type="noConversion"/>
  </si>
  <si>
    <t xml:space="preserve"> qs =</t>
    <phoneticPr fontId="2" type="noConversion"/>
  </si>
  <si>
    <t>cms =</t>
    <phoneticPr fontId="2" type="noConversion"/>
  </si>
  <si>
    <t>(선회각도 135˚)</t>
    <phoneticPr fontId="2" type="noConversion"/>
  </si>
  <si>
    <t xml:space="preserve">    ㅇ 작업량</t>
  </si>
  <si>
    <t>Q =</t>
  </si>
  <si>
    <t xml:space="preserve"> 3600 × qs × k × f × Es  / Cm   =</t>
    <phoneticPr fontId="2" type="noConversion"/>
  </si>
  <si>
    <t>㎡/hr</t>
    <phoneticPr fontId="2" type="noConversion"/>
  </si>
  <si>
    <t>운반2.5톤 값 물고옴</t>
    <phoneticPr fontId="9" type="noConversion"/>
  </si>
  <si>
    <t xml:space="preserve">    ㅇ 기계 ㎥당</t>
  </si>
  <si>
    <t>수집목평균경급</t>
    <phoneticPr fontId="2" type="noConversion"/>
  </si>
  <si>
    <t>cm</t>
    <phoneticPr fontId="4" type="noConversion"/>
  </si>
  <si>
    <t xml:space="preserve">  - 노 무 비 :</t>
  </si>
  <si>
    <t>÷</t>
  </si>
  <si>
    <t>＝</t>
  </si>
  <si>
    <t>조재길이</t>
    <phoneticPr fontId="4" type="noConversion"/>
  </si>
  <si>
    <t>m</t>
    <phoneticPr fontId="4" type="noConversion"/>
  </si>
  <si>
    <t xml:space="preserve">  - 재 료 비 :</t>
  </si>
  <si>
    <t>우드그랩 원목 집는 개수</t>
    <phoneticPr fontId="4" type="noConversion"/>
  </si>
  <si>
    <t>개</t>
    <phoneticPr fontId="4" type="noConversion"/>
  </si>
  <si>
    <t xml:space="preserve">  - 경    비 :</t>
  </si>
  <si>
    <t>고사목 제거 상차 소계</t>
    <phoneticPr fontId="9" type="noConversion"/>
  </si>
  <si>
    <t>운반</t>
    <phoneticPr fontId="9" type="noConversion"/>
  </si>
  <si>
    <t xml:space="preserve">  1. 덤프트럭   (</t>
  </si>
  <si>
    <t>ton / ㎥ )</t>
    <phoneticPr fontId="2" type="noConversion"/>
  </si>
  <si>
    <t xml:space="preserve">  ㅇ</t>
  </si>
  <si>
    <t xml:space="preserve">운 반 로 : </t>
  </si>
  <si>
    <t>L  =</t>
  </si>
  <si>
    <t>km(적재</t>
    <phoneticPr fontId="2" type="noConversion"/>
  </si>
  <si>
    <t>L1=</t>
    <phoneticPr fontId="2" type="noConversion"/>
  </si>
  <si>
    <t>km</t>
    <phoneticPr fontId="2" type="noConversion"/>
  </si>
  <si>
    <t>현장)</t>
    <phoneticPr fontId="2" type="noConversion"/>
  </si>
  <si>
    <t>노란색</t>
    <phoneticPr fontId="9" type="noConversion"/>
  </si>
  <si>
    <t>입력 : 장비 계수 → 건설품셈</t>
    <phoneticPr fontId="9" type="noConversion"/>
  </si>
  <si>
    <t>V1=</t>
    <phoneticPr fontId="2" type="noConversion"/>
  </si>
  <si>
    <t>km/hr</t>
    <phoneticPr fontId="2" type="noConversion"/>
  </si>
  <si>
    <t>입력 : 상황따라  → 건설품셈</t>
    <phoneticPr fontId="9" type="noConversion"/>
  </si>
  <si>
    <t>V2=</t>
  </si>
  <si>
    <t>km/hr</t>
    <phoneticPr fontId="2" type="noConversion"/>
  </si>
  <si>
    <t>ㅇ</t>
    <phoneticPr fontId="2" type="noConversion"/>
  </si>
  <si>
    <t xml:space="preserve">적재기계 :   </t>
  </si>
  <si>
    <t>굴삭기</t>
  </si>
  <si>
    <t>㎥급</t>
    <phoneticPr fontId="2" type="noConversion"/>
  </si>
  <si>
    <t>ㅇ</t>
  </si>
  <si>
    <t>작업조건 :</t>
  </si>
  <si>
    <t>cm =</t>
  </si>
  <si>
    <t>f =</t>
  </si>
  <si>
    <t>E =</t>
  </si>
  <si>
    <t>소운반</t>
  </si>
  <si>
    <t>t1 =</t>
  </si>
  <si>
    <t>적재시간   =</t>
    <phoneticPr fontId="2" type="noConversion"/>
  </si>
  <si>
    <t xml:space="preserve"> cmt =</t>
    <phoneticPr fontId="2" type="noConversion"/>
  </si>
  <si>
    <t xml:space="preserve"> (cms × n) / (60 × Es)</t>
    <phoneticPr fontId="2" type="noConversion"/>
  </si>
  <si>
    <t>=</t>
  </si>
  <si>
    <t>분</t>
  </si>
  <si>
    <t>*cms =</t>
  </si>
  <si>
    <t>*n=</t>
    <phoneticPr fontId="2" type="noConversion"/>
  </si>
  <si>
    <t>Qt / q × k =</t>
    <phoneticPr fontId="2" type="noConversion"/>
  </si>
  <si>
    <t>*Es  =</t>
  </si>
  <si>
    <t>*Qt   = (1.0/0.8)*1</t>
    <phoneticPr fontId="2" type="noConversion"/>
  </si>
  <si>
    <t>ton → m2로 보정계수</t>
    <phoneticPr fontId="9" type="noConversion"/>
  </si>
  <si>
    <t>* q    =</t>
  </si>
  <si>
    <t>토석 1톤 = 임목 0.8톤</t>
    <phoneticPr fontId="9" type="noConversion"/>
  </si>
  <si>
    <t>* k    =</t>
  </si>
  <si>
    <t>t2 ＝</t>
  </si>
  <si>
    <t>왕복시간  =  (L/V1 + L/V2) × 60</t>
    <phoneticPr fontId="2" type="noConversion"/>
  </si>
  <si>
    <t xml:space="preserve"> ＝</t>
  </si>
  <si>
    <t>t3 =</t>
  </si>
  <si>
    <t xml:space="preserve"> 적하시간(보통)</t>
    <phoneticPr fontId="2" type="noConversion"/>
  </si>
  <si>
    <t>t4 ＝</t>
  </si>
  <si>
    <t xml:space="preserve"> 적재장소 공차대기시간</t>
  </si>
  <si>
    <t>대운반</t>
  </si>
  <si>
    <t xml:space="preserve">   ㅇ 작업량</t>
    <phoneticPr fontId="2" type="noConversion"/>
  </si>
  <si>
    <t>Q =</t>
    <phoneticPr fontId="2" type="noConversion"/>
  </si>
  <si>
    <t xml:space="preserve"> 60 × q × f × e / Cm    =</t>
    <phoneticPr fontId="2" type="noConversion"/>
  </si>
  <si>
    <t>㎥/hr</t>
    <phoneticPr fontId="2" type="noConversion"/>
  </si>
  <si>
    <t xml:space="preserve">   ㅇ 기계 ton당</t>
    <phoneticPr fontId="2" type="noConversion"/>
  </si>
  <si>
    <t>고사목 제거 운반 소계</t>
    <phoneticPr fontId="9" type="noConversion"/>
  </si>
  <si>
    <t>합계</t>
    <phoneticPr fontId="9" type="noConversion"/>
  </si>
  <si>
    <t xml:space="preserve">  (2017년개정 건설표준품셈 p.394 (9-7 덤프트럭)</t>
    <phoneticPr fontId="4" type="noConversion"/>
  </si>
  <si>
    <t xml:space="preserve"> 1. 상차 : 굴삭기+부착용집게( 0.2㎥급 )/㎥</t>
    <phoneticPr fontId="2" type="noConversion"/>
  </si>
  <si>
    <t>파란색</t>
    <phoneticPr fontId="9" type="noConversion"/>
  </si>
  <si>
    <t>qs=</t>
    <phoneticPr fontId="2" type="noConversion"/>
  </si>
  <si>
    <t>훈증더미
제거</t>
    <phoneticPr fontId="4" type="noConversion"/>
  </si>
  <si>
    <t>f=</t>
    <phoneticPr fontId="2" type="noConversion"/>
  </si>
  <si>
    <t xml:space="preserve"> Es =</t>
    <phoneticPr fontId="2" type="noConversion"/>
  </si>
  <si>
    <t xml:space="preserve"> qs =</t>
    <phoneticPr fontId="2" type="noConversion"/>
  </si>
  <si>
    <t>(선회각도 90˚)</t>
    <phoneticPr fontId="2" type="noConversion"/>
  </si>
  <si>
    <t xml:space="preserve"> 3600 × qs × k × f × Es  / Cm   =</t>
    <phoneticPr fontId="2" type="noConversion"/>
  </si>
  <si>
    <t>㎡/hr</t>
    <phoneticPr fontId="2" type="noConversion"/>
  </si>
  <si>
    <t>수집목평균경급</t>
    <phoneticPr fontId="2" type="noConversion"/>
  </si>
  <si>
    <t>조재길이</t>
    <phoneticPr fontId="4" type="noConversion"/>
  </si>
  <si>
    <t>m</t>
    <phoneticPr fontId="4" type="noConversion"/>
  </si>
  <si>
    <t>우드그랩 원목 집는 개수</t>
    <phoneticPr fontId="4" type="noConversion"/>
  </si>
  <si>
    <t>개</t>
    <phoneticPr fontId="4" type="noConversion"/>
  </si>
  <si>
    <t>훈증더미 제거 상차 소계</t>
    <phoneticPr fontId="9" type="noConversion"/>
  </si>
  <si>
    <t>운반</t>
    <phoneticPr fontId="9" type="noConversion"/>
  </si>
  <si>
    <t>ton / ㎥ )</t>
    <phoneticPr fontId="2" type="noConversion"/>
  </si>
  <si>
    <t>km(적재</t>
    <phoneticPr fontId="2" type="noConversion"/>
  </si>
  <si>
    <t>L1=</t>
    <phoneticPr fontId="2" type="noConversion"/>
  </si>
  <si>
    <t>km</t>
    <phoneticPr fontId="2" type="noConversion"/>
  </si>
  <si>
    <t>V1=</t>
    <phoneticPr fontId="2" type="noConversion"/>
  </si>
  <si>
    <t>입력 : 상황따라  → 건설품셈</t>
    <phoneticPr fontId="9" type="noConversion"/>
  </si>
  <si>
    <t>km/hr</t>
    <phoneticPr fontId="2" type="noConversion"/>
  </si>
  <si>
    <t>ㅇ</t>
    <phoneticPr fontId="2" type="noConversion"/>
  </si>
  <si>
    <t>㎥급</t>
    <phoneticPr fontId="2" type="noConversion"/>
  </si>
  <si>
    <t xml:space="preserve"> (cms × n) / (60 × Es)</t>
    <phoneticPr fontId="2" type="noConversion"/>
  </si>
  <si>
    <t>*n=</t>
    <phoneticPr fontId="2" type="noConversion"/>
  </si>
  <si>
    <t>*Qt   = (1.0/0.8)*1</t>
    <phoneticPr fontId="2" type="noConversion"/>
  </si>
  <si>
    <t>ton → m2로 보정계수</t>
    <phoneticPr fontId="9" type="noConversion"/>
  </si>
  <si>
    <t>왕복시간  =  (L/V1 + L/V2) × 60</t>
    <phoneticPr fontId="2" type="noConversion"/>
  </si>
  <si>
    <t xml:space="preserve">   ㅇ 기계 ton당</t>
    <phoneticPr fontId="2" type="noConversion"/>
  </si>
  <si>
    <t>훈증더미 제거 운반 소계</t>
    <phoneticPr fontId="9" type="noConversion"/>
  </si>
  <si>
    <t>집재 및 운반</t>
    <phoneticPr fontId="2" type="noConversion"/>
  </si>
  <si>
    <t>굴삭기+트럭1ton</t>
    <phoneticPr fontId="2" type="noConversion"/>
  </si>
  <si>
    <t>㎥</t>
    <phoneticPr fontId="2" type="noConversion"/>
  </si>
  <si>
    <t>인</t>
    <phoneticPr fontId="2" type="noConversion"/>
  </si>
  <si>
    <t>집재 및 인력소운반</t>
    <phoneticPr fontId="2" type="noConversion"/>
  </si>
  <si>
    <t>집재 및 소운반</t>
    <phoneticPr fontId="2" type="noConversion"/>
  </si>
  <si>
    <t>계</t>
    <phoneticPr fontId="2" type="noConversion"/>
  </si>
  <si>
    <t>보통인부</t>
    <phoneticPr fontId="2" type="noConversion"/>
  </si>
  <si>
    <t>㎥</t>
    <phoneticPr fontId="2" type="noConversion"/>
  </si>
  <si>
    <t>㎥</t>
    <phoneticPr fontId="2" type="noConversion"/>
  </si>
  <si>
    <t>평균속도</t>
  </si>
  <si>
    <t>도로상태</t>
  </si>
  <si>
    <t>적재V1</t>
  </si>
  <si>
    <t>적하V2</t>
  </si>
  <si>
    <t xml:space="preserve">  (2017년개정 건설표준품셈 p.394 (9-7 덤프트럭)</t>
  </si>
  <si>
    <t>토취장 또는 토사장 등 열악한 조건의 도로</t>
  </si>
  <si>
    <t>교차가 힘든 산간지 도로 및 제방 등의 도로</t>
  </si>
  <si>
    <t>교차가 가능한 산간지 도로 및 제방 도로, 미포장 도로</t>
  </si>
  <si>
    <t>2차로 이상의 공사용 도로</t>
  </si>
  <si>
    <t>2차로 교통량 및 교통대기가 많은 시가지 포장도로(7,000대/일 이상)</t>
  </si>
  <si>
    <t>4차로 이상의 교통량 및 교통대기가 많은 시가지 포장도로(40,000대/일 이상)</t>
  </si>
  <si>
    <t>2차로 시가지 포장도로(7,000~2,000대/일 이상)</t>
  </si>
  <si>
    <t>4차로 이상의 시가지 포장도로(40,000대/일 미만)</t>
  </si>
  <si>
    <t>2차로 교외 포장 도로(2,000대/일 이상)</t>
  </si>
  <si>
    <t>4차로 이상의 교외 포장도로(40,000대/일 이상)</t>
  </si>
  <si>
    <t>2차로 교외 포장 도로(2,000대/일 미만)</t>
  </si>
  <si>
    <t>4차로 이상의 교외 포장도로(40,000대/일 미만)</t>
  </si>
  <si>
    <t>2차로 고속도로 또는 교통량(편도) 1일 40,000대 이상의 4차로 고속도로</t>
  </si>
  <si>
    <t>4차로 고속도로(편도 교통량 1일 40,000대 미만</t>
  </si>
  <si>
    <t>임목 폐기물 수량산출서</t>
    <phoneticPr fontId="2" type="noConversion"/>
  </si>
  <si>
    <t xml:space="preserve">   A. 간접노무비</t>
  </si>
  <si>
    <t>직노의 13.8%</t>
  </si>
  <si>
    <t xml:space="preserve">   B. 산재보험료</t>
  </si>
  <si>
    <t>(직노+간노)의3.7%</t>
  </si>
  <si>
    <t xml:space="preserve">   C. 고용보험료</t>
  </si>
  <si>
    <t>(직노+간노)의1.01%</t>
  </si>
  <si>
    <t xml:space="preserve">   D. 건강보험료</t>
  </si>
  <si>
    <t>직노의3.43%</t>
  </si>
  <si>
    <t xml:space="preserve">   E. 연금보험료</t>
  </si>
  <si>
    <t>직노의4.5%</t>
  </si>
  <si>
    <t xml:space="preserve">   F. 장기요양보험</t>
  </si>
  <si>
    <t>건보의11.52%</t>
  </si>
  <si>
    <t xml:space="preserve">   G. 퇴직공제부금</t>
  </si>
  <si>
    <t>직노의2.3%</t>
  </si>
  <si>
    <t xml:space="preserve">   H. 건설기계 대여대금 지급보증서발급금액</t>
  </si>
  <si>
    <t>(재+직노+경)*0.40%</t>
  </si>
  <si>
    <t xml:space="preserve">   I. 건설하도급대금지급보증</t>
  </si>
  <si>
    <t>(재+직노+경)*0.081%</t>
  </si>
  <si>
    <t>((재+직노)의2.93%)*1.2</t>
  </si>
  <si>
    <t>(재+직노+도급자관급)의*2.93%</t>
  </si>
  <si>
    <t xml:space="preserve">   K. 환경보전비</t>
  </si>
  <si>
    <t>직접공사비의0.9%</t>
  </si>
  <si>
    <t xml:space="preserve">   L.기타경비</t>
  </si>
  <si>
    <t>(재+노)의8.3%</t>
  </si>
  <si>
    <t xml:space="preserve">   나. 순공사원가</t>
  </si>
  <si>
    <t xml:space="preserve">   M. 일반관리비</t>
  </si>
  <si>
    <t>순공사원가의6.0%</t>
  </si>
  <si>
    <t xml:space="preserve">   N. 이      윤</t>
  </si>
  <si>
    <t>(노+경+일)*15.0%이내</t>
  </si>
  <si>
    <t xml:space="preserve">   9. 품질관리시험비</t>
  </si>
  <si>
    <t xml:space="preserve">   다. 공급가액</t>
  </si>
  <si>
    <t>%</t>
    <phoneticPr fontId="4" type="noConversion"/>
  </si>
  <si>
    <t>(노+경+일)*15.0%이내</t>
    <phoneticPr fontId="50" type="noConversion"/>
  </si>
  <si>
    <t xml:space="preserve">   O. 부가가치세</t>
    <phoneticPr fontId="4" type="noConversion"/>
  </si>
  <si>
    <t xml:space="preserve">   라. 설계 예정 금액</t>
    <phoneticPr fontId="4" type="noConversion"/>
  </si>
  <si>
    <t>도급낙찰율 적용</t>
    <phoneticPr fontId="2" type="noConversion"/>
  </si>
  <si>
    <t>%</t>
    <phoneticPr fontId="2" type="noConversion"/>
  </si>
  <si>
    <t>하도급낙찰율 적용</t>
    <phoneticPr fontId="2" type="noConversion"/>
  </si>
  <si>
    <t>직접노무비 x 13.8%</t>
    <phoneticPr fontId="2" type="noConversion"/>
  </si>
  <si>
    <t>(직접노무비+간접노무비) × 3.7%</t>
    <phoneticPr fontId="8" type="noConversion"/>
  </si>
  <si>
    <t>(직접노무비+간접노무비) × 1.01%</t>
    <phoneticPr fontId="8" type="noConversion"/>
  </si>
  <si>
    <t>(직접노무비) × 3.43%</t>
    <phoneticPr fontId="2" type="noConversion"/>
  </si>
  <si>
    <t>(직접노무비) × 4.5%</t>
    <phoneticPr fontId="2" type="noConversion"/>
  </si>
  <si>
    <t>장기요양보험료</t>
    <phoneticPr fontId="4" type="noConversion"/>
  </si>
  <si>
    <t>퇴직공제부금</t>
    <phoneticPr fontId="2" type="noConversion"/>
  </si>
  <si>
    <t>(직접노무비) × 2.3%</t>
    <phoneticPr fontId="2" type="noConversion"/>
  </si>
  <si>
    <t>(재료비+직노+경비) x 0.40%</t>
    <phoneticPr fontId="2" type="noConversion"/>
  </si>
  <si>
    <t>(건강보험료) x 11.52%</t>
    <phoneticPr fontId="6" type="noConversion"/>
  </si>
  <si>
    <t>(재료비+직노+경비) x 0.081%</t>
    <phoneticPr fontId="2" type="noConversion"/>
  </si>
  <si>
    <t>건설하도급대금지급보증</t>
    <phoneticPr fontId="2" type="noConversion"/>
  </si>
  <si>
    <t>산업안전보건관리비(미적용)</t>
    <phoneticPr fontId="8" type="noConversion"/>
  </si>
  <si>
    <t>(재+직노+도급자관급)의 x 2.93%</t>
    <phoneticPr fontId="2" type="noConversion"/>
  </si>
  <si>
    <t>((재+직노)의2.93%) x 1.2</t>
    <phoneticPr fontId="2" type="noConversion"/>
  </si>
  <si>
    <t>직접공사비기준</t>
    <phoneticPr fontId="2" type="noConversion"/>
  </si>
  <si>
    <t>공사명 : 고천동 고고리길 도로개설공사 중 대형목 벌목공사</t>
    <phoneticPr fontId="2" type="noConversion"/>
  </si>
  <si>
    <t xml:space="preserve">   산업안전보건관리비</t>
    <phoneticPr fontId="2" type="noConversion"/>
  </si>
  <si>
    <t xml:space="preserve">   J. 산업안전보건관리비 (미적용)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</si>
</sst>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76" formatCode="_(* #,##0.00_);_(* \(#,##0.00\);_(* &quot;-&quot;??_);_(@_)"/>
    <numFmt numFmtId="177" formatCode="#,##0.0########"/>
    <numFmt numFmtId="178" formatCode="#,##0.##"/>
    <numFmt numFmtId="179" formatCode="#,##0.#########"/>
    <numFmt numFmtId="180" formatCode="&quot;제&quot;#&quot;호표&quot;"/>
    <numFmt numFmtId="181" formatCode="&quot;0.5x3.14(&quot;#,##0.00&quot;/2)^2x2.5x1.25(1+0.3)&quot;"/>
    <numFmt numFmtId="182" formatCode="_-* #,##0.0_-;\-* #,##0.0_-;_-* &quot;-&quot;_-;_-@_-"/>
    <numFmt numFmtId="183" formatCode="_-* #,##0_-;\-* #,##0_-;_-* &quot;-&quot;??_-;_-@_-"/>
    <numFmt numFmtId="184" formatCode="_(* #,##0_);_(* \(#,##0\);_(* &quot;-&quot;??_);_(@_)"/>
    <numFmt numFmtId="185" formatCode="0.00_ "/>
    <numFmt numFmtId="186" formatCode="0&quot;ton&quot;"/>
    <numFmt numFmtId="187" formatCode="_-* #,##0.0000_-;\-* #,##0.0000_-;_-* &quot;-&quot;_-;_-@_-"/>
    <numFmt numFmtId="188" formatCode="0.0_ "/>
    <numFmt numFmtId="189" formatCode="mm&quot;월&quot;\ dd&quot;일&quot;"/>
    <numFmt numFmtId="190" formatCode="_-* #,##0.00_-;\-* #,##0.00_-;_-* &quot;-&quot;_-;_-@_-"/>
    <numFmt numFmtId="191" formatCode="0.00_);[Red]\(0.00\)"/>
    <numFmt numFmtId="192" formatCode="#,##0.00_ "/>
    <numFmt numFmtId="193" formatCode="General;\-General\,&quot;&quot;;@"/>
    <numFmt numFmtId="194" formatCode="0.0"/>
    <numFmt numFmtId="195" formatCode="#,##0.0##############"/>
  </numFmts>
  <fonts count="5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2"/>
      <name val="바탕체"/>
      <family val="1"/>
      <charset val="129"/>
    </font>
    <font>
      <sz val="8"/>
      <name val="맑은 고딕"/>
      <family val="3"/>
      <charset val="129"/>
    </font>
    <font>
      <sz val="12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2"/>
      <color theme="1"/>
      <name val="바탕체"/>
      <family val="1"/>
      <charset val="129"/>
    </font>
    <font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u/>
      <sz val="20"/>
      <name val="맑은 고딕"/>
      <family val="3"/>
      <charset val="129"/>
      <scheme val="major"/>
    </font>
    <font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15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9"/>
      <color theme="0"/>
      <name val="맑은 고딕"/>
      <family val="3"/>
      <charset val="129"/>
      <scheme val="major"/>
    </font>
    <font>
      <sz val="10"/>
      <color theme="0"/>
      <name val="맑은 고딕"/>
      <family val="3"/>
      <charset val="129"/>
      <scheme val="major"/>
    </font>
    <font>
      <b/>
      <sz val="15"/>
      <color theme="0" tint="-0.34998626667073579"/>
      <name val="맑은 고딕"/>
      <family val="3"/>
      <charset val="129"/>
      <scheme val="major"/>
    </font>
    <font>
      <sz val="9"/>
      <color theme="0" tint="-0.34998626667073579"/>
      <name val="맑은 고딕"/>
      <family val="3"/>
      <charset val="129"/>
      <scheme val="major"/>
    </font>
    <font>
      <sz val="10"/>
      <color theme="0" tint="-0.34998626667073579"/>
      <name val="맑은 고딕"/>
      <family val="3"/>
      <charset val="129"/>
      <scheme val="major"/>
    </font>
    <font>
      <sz val="9"/>
      <color theme="9" tint="0.59999389629810485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9"/>
      <color theme="8" tint="0.59999389629810485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8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6">
    <border>
      <left/>
      <right/>
      <top/>
      <bottom/>
      <diagonal/>
    </border>
    <border>
      <left/>
      <right style="hair">
        <color indexed="64"/>
      </right>
      <top/>
      <bottom style="thin">
        <color indexed="0"/>
      </bottom>
      <diagonal/>
    </border>
    <border>
      <left style="hair">
        <color indexed="64"/>
      </left>
      <right style="hair">
        <color indexed="64"/>
      </right>
      <top/>
      <bottom style="thin">
        <color indexed="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0"/>
      </top>
      <bottom style="hair">
        <color indexed="64"/>
      </bottom>
      <diagonal/>
    </border>
    <border>
      <left/>
      <right style="thin">
        <color indexed="64"/>
      </right>
      <top style="thin">
        <color indexed="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176" fontId="1" fillId="0" borderId="0"/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11" fillId="0" borderId="0">
      <alignment vertical="center"/>
    </xf>
    <xf numFmtId="0" fontId="3" fillId="0" borderId="0"/>
    <xf numFmtId="0" fontId="12" fillId="0" borderId="0">
      <alignment vertical="center"/>
    </xf>
    <xf numFmtId="0" fontId="3" fillId="0" borderId="0"/>
    <xf numFmtId="2" fontId="5" fillId="0" borderId="0"/>
    <xf numFmtId="0" fontId="3" fillId="0" borderId="0"/>
  </cellStyleXfs>
  <cellXfs count="609">
    <xf numFmtId="0" fontId="0" fillId="0" borderId="0" xfId="0"/>
    <xf numFmtId="0" fontId="13" fillId="0" borderId="0" xfId="6" applyFont="1" applyAlignment="1">
      <alignment vertical="center"/>
    </xf>
    <xf numFmtId="0" fontId="14" fillId="0" borderId="0" xfId="6" applyFont="1" applyAlignment="1">
      <alignment vertical="center"/>
    </xf>
    <xf numFmtId="0" fontId="15" fillId="0" borderId="0" xfId="6" applyFont="1" applyBorder="1" applyAlignment="1">
      <alignment vertical="center"/>
    </xf>
    <xf numFmtId="0" fontId="15" fillId="0" borderId="0" xfId="6" applyFont="1" applyAlignment="1">
      <alignment vertical="center"/>
    </xf>
    <xf numFmtId="0" fontId="16" fillId="5" borderId="50" xfId="6" applyFont="1" applyFill="1" applyBorder="1" applyAlignment="1">
      <alignment horizontal="center" vertical="center"/>
    </xf>
    <xf numFmtId="0" fontId="16" fillId="5" borderId="51" xfId="6" applyFont="1" applyFill="1" applyBorder="1" applyAlignment="1">
      <alignment horizontal="center" vertical="center"/>
    </xf>
    <xf numFmtId="0" fontId="17" fillId="0" borderId="52" xfId="6" applyFont="1" applyBorder="1" applyAlignment="1">
      <alignment vertical="center"/>
    </xf>
    <xf numFmtId="0" fontId="17" fillId="0" borderId="53" xfId="6" applyFont="1" applyBorder="1" applyAlignment="1">
      <alignment horizontal="center" vertical="center"/>
    </xf>
    <xf numFmtId="0" fontId="17" fillId="0" borderId="48" xfId="6" applyFont="1" applyBorder="1" applyAlignment="1">
      <alignment horizontal="center" vertical="center"/>
    </xf>
    <xf numFmtId="41" fontId="17" fillId="0" borderId="48" xfId="6" applyNumberFormat="1" applyFont="1" applyBorder="1" applyAlignment="1">
      <alignment vertical="center"/>
    </xf>
    <xf numFmtId="0" fontId="15" fillId="0" borderId="48" xfId="6" applyFont="1" applyBorder="1" applyAlignment="1">
      <alignment horizontal="left" vertical="center" indent="2"/>
    </xf>
    <xf numFmtId="0" fontId="17" fillId="0" borderId="54" xfId="6" applyFont="1" applyBorder="1" applyAlignment="1">
      <alignment vertical="center"/>
    </xf>
    <xf numFmtId="0" fontId="17" fillId="0" borderId="55" xfId="6" applyFont="1" applyBorder="1" applyAlignment="1">
      <alignment horizontal="center" vertical="center"/>
    </xf>
    <xf numFmtId="0" fontId="17" fillId="0" borderId="56" xfId="6" applyFont="1" applyBorder="1" applyAlignment="1">
      <alignment horizontal="center" vertical="center"/>
    </xf>
    <xf numFmtId="0" fontId="17" fillId="0" borderId="48" xfId="6" applyFont="1" applyBorder="1" applyAlignment="1">
      <alignment vertical="center"/>
    </xf>
    <xf numFmtId="0" fontId="17" fillId="0" borderId="57" xfId="6" applyFont="1" applyBorder="1" applyAlignment="1">
      <alignment horizontal="center" vertical="center"/>
    </xf>
    <xf numFmtId="0" fontId="17" fillId="0" borderId="58" xfId="6" applyFont="1" applyBorder="1" applyAlignment="1">
      <alignment horizontal="center" vertical="center"/>
    </xf>
    <xf numFmtId="41" fontId="17" fillId="0" borderId="58" xfId="6" applyNumberFormat="1" applyFont="1" applyBorder="1" applyAlignment="1">
      <alignment vertical="center"/>
    </xf>
    <xf numFmtId="0" fontId="15" fillId="0" borderId="58" xfId="6" applyFont="1" applyBorder="1" applyAlignment="1">
      <alignment horizontal="left" vertical="center" indent="2"/>
    </xf>
    <xf numFmtId="0" fontId="17" fillId="0" borderId="59" xfId="6" applyFont="1" applyBorder="1" applyAlignment="1">
      <alignment vertical="center"/>
    </xf>
    <xf numFmtId="0" fontId="17" fillId="0" borderId="60" xfId="6" applyFont="1" applyBorder="1" applyAlignment="1">
      <alignment horizontal="center" vertical="center"/>
    </xf>
    <xf numFmtId="41" fontId="17" fillId="0" borderId="60" xfId="6" applyNumberFormat="1" applyFont="1" applyBorder="1" applyAlignment="1">
      <alignment vertical="center"/>
    </xf>
    <xf numFmtId="0" fontId="15" fillId="0" borderId="60" xfId="6" applyFont="1" applyBorder="1" applyAlignment="1">
      <alignment horizontal="left" vertical="center" indent="2"/>
    </xf>
    <xf numFmtId="0" fontId="17" fillId="0" borderId="61" xfId="6" applyFont="1" applyBorder="1" applyAlignment="1">
      <alignment vertical="center"/>
    </xf>
    <xf numFmtId="183" fontId="17" fillId="0" borderId="48" xfId="6" applyNumberFormat="1" applyFont="1" applyBorder="1" applyAlignment="1">
      <alignment vertical="center"/>
    </xf>
    <xf numFmtId="41" fontId="15" fillId="0" borderId="48" xfId="6" applyNumberFormat="1" applyFont="1" applyBorder="1" applyAlignment="1">
      <alignment horizontal="left" vertical="center" indent="2"/>
    </xf>
    <xf numFmtId="0" fontId="17" fillId="0" borderId="62" xfId="6" applyFont="1" applyBorder="1" applyAlignment="1">
      <alignment vertical="center"/>
    </xf>
    <xf numFmtId="0" fontId="17" fillId="0" borderId="57" xfId="6" applyFont="1" applyBorder="1" applyAlignment="1">
      <alignment vertical="center"/>
    </xf>
    <xf numFmtId="183" fontId="17" fillId="0" borderId="58" xfId="6" applyNumberFormat="1" applyFont="1" applyBorder="1" applyAlignment="1">
      <alignment vertical="center"/>
    </xf>
    <xf numFmtId="41" fontId="16" fillId="0" borderId="48" xfId="6" applyNumberFormat="1" applyFont="1" applyBorder="1" applyAlignment="1">
      <alignment vertical="center"/>
    </xf>
    <xf numFmtId="183" fontId="16" fillId="0" borderId="48" xfId="6" applyNumberFormat="1" applyFont="1" applyBorder="1" applyAlignment="1">
      <alignment vertical="center"/>
    </xf>
    <xf numFmtId="41" fontId="16" fillId="0" borderId="58" xfId="6" applyNumberFormat="1" applyFont="1" applyBorder="1" applyAlignment="1">
      <alignment vertical="center"/>
    </xf>
    <xf numFmtId="0" fontId="13" fillId="0" borderId="58" xfId="6" applyFont="1" applyBorder="1" applyAlignment="1">
      <alignment vertical="center"/>
    </xf>
    <xf numFmtId="0" fontId="13" fillId="0" borderId="59" xfId="6" applyFont="1" applyBorder="1" applyAlignment="1">
      <alignment vertical="center"/>
    </xf>
    <xf numFmtId="41" fontId="13" fillId="0" borderId="0" xfId="2" applyNumberFormat="1" applyFont="1" applyAlignment="1">
      <alignment vertical="center"/>
    </xf>
    <xf numFmtId="0" fontId="13" fillId="0" borderId="0" xfId="6" applyFont="1" applyAlignment="1">
      <alignment horizontal="left" vertical="center" indent="15"/>
    </xf>
    <xf numFmtId="41" fontId="13" fillId="0" borderId="0" xfId="6" applyNumberFormat="1" applyFont="1" applyAlignment="1">
      <alignment vertical="center"/>
    </xf>
    <xf numFmtId="43" fontId="13" fillId="0" borderId="0" xfId="6" applyNumberFormat="1" applyFont="1" applyAlignment="1">
      <alignment vertical="center"/>
    </xf>
    <xf numFmtId="0" fontId="17" fillId="0" borderId="48" xfId="6" applyFont="1" applyBorder="1" applyAlignment="1">
      <alignment horizontal="center" vertical="center"/>
    </xf>
    <xf numFmtId="0" fontId="22" fillId="0" borderId="0" xfId="9" applyFont="1" applyAlignment="1">
      <alignment vertical="center"/>
    </xf>
    <xf numFmtId="0" fontId="23" fillId="0" borderId="0" xfId="9" applyFont="1" applyAlignment="1">
      <alignment vertical="center"/>
    </xf>
    <xf numFmtId="0" fontId="23" fillId="0" borderId="0" xfId="9" applyFont="1"/>
    <xf numFmtId="0" fontId="24" fillId="0" borderId="9" xfId="9" applyFont="1" applyBorder="1" applyAlignment="1">
      <alignment horizontal="center" vertical="center"/>
    </xf>
    <xf numFmtId="0" fontId="24" fillId="0" borderId="16" xfId="9" applyFont="1" applyBorder="1" applyAlignment="1">
      <alignment horizontal="center" vertical="center"/>
    </xf>
    <xf numFmtId="0" fontId="24" fillId="0" borderId="68" xfId="9" applyFont="1" applyBorder="1" applyAlignment="1">
      <alignment horizontal="center" vertical="center"/>
    </xf>
    <xf numFmtId="0" fontId="24" fillId="0" borderId="48" xfId="9" applyFont="1" applyBorder="1" applyAlignment="1">
      <alignment horizontal="center" vertical="center"/>
    </xf>
    <xf numFmtId="0" fontId="25" fillId="0" borderId="0" xfId="9" applyFont="1" applyBorder="1" applyAlignment="1">
      <alignment vertical="center"/>
    </xf>
    <xf numFmtId="0" fontId="25" fillId="0" borderId="0" xfId="9" applyFont="1" applyAlignment="1">
      <alignment vertical="center"/>
    </xf>
    <xf numFmtId="0" fontId="25" fillId="0" borderId="0" xfId="7" applyNumberFormat="1" applyFont="1" applyFill="1" applyBorder="1" applyAlignment="1">
      <alignment vertical="center"/>
    </xf>
    <xf numFmtId="182" fontId="25" fillId="0" borderId="0" xfId="7" applyNumberFormat="1" applyFont="1" applyFill="1" applyBorder="1" applyAlignment="1">
      <alignment vertical="center"/>
    </xf>
    <xf numFmtId="0" fontId="25" fillId="0" borderId="0" xfId="7" applyNumberFormat="1" applyFont="1" applyBorder="1" applyAlignment="1">
      <alignment vertical="center"/>
    </xf>
    <xf numFmtId="0" fontId="25" fillId="0" borderId="0" xfId="4" applyNumberFormat="1" applyFont="1" applyBorder="1" applyAlignment="1">
      <alignment vertical="center"/>
    </xf>
    <xf numFmtId="41" fontId="25" fillId="0" borderId="37" xfId="4" applyFont="1" applyBorder="1" applyAlignment="1">
      <alignment vertical="center"/>
    </xf>
    <xf numFmtId="41" fontId="25" fillId="0" borderId="38" xfId="4" applyFont="1" applyBorder="1" applyAlignment="1">
      <alignment vertical="center"/>
    </xf>
    <xf numFmtId="0" fontId="25" fillId="0" borderId="69" xfId="7" applyFont="1" applyBorder="1" applyAlignment="1">
      <alignment horizontal="center" vertical="center"/>
    </xf>
    <xf numFmtId="0" fontId="25" fillId="0" borderId="56" xfId="7" applyFont="1" applyBorder="1" applyAlignment="1">
      <alignment horizontal="center" vertical="center"/>
    </xf>
    <xf numFmtId="0" fontId="25" fillId="0" borderId="69" xfId="7" applyNumberFormat="1" applyFont="1" applyFill="1" applyBorder="1" applyAlignment="1">
      <alignment horizontal="left" vertical="center"/>
    </xf>
    <xf numFmtId="0" fontId="25" fillId="0" borderId="0" xfId="7" applyNumberFormat="1" applyFont="1" applyFill="1" applyBorder="1" applyAlignment="1">
      <alignment horizontal="center" vertical="center"/>
    </xf>
    <xf numFmtId="0" fontId="25" fillId="0" borderId="69" xfId="7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left" vertical="center"/>
    </xf>
    <xf numFmtId="0" fontId="25" fillId="0" borderId="0" xfId="9" applyFont="1" applyFill="1" applyAlignment="1">
      <alignment vertical="center"/>
    </xf>
    <xf numFmtId="185" fontId="25" fillId="0" borderId="0" xfId="7" applyNumberFormat="1" applyFont="1" applyFill="1" applyBorder="1" applyAlignment="1">
      <alignment horizontal="center" vertical="center"/>
    </xf>
    <xf numFmtId="0" fontId="25" fillId="0" borderId="70" xfId="7" applyFont="1" applyFill="1" applyBorder="1" applyAlignment="1">
      <alignment vertical="center"/>
    </xf>
    <xf numFmtId="0" fontId="25" fillId="0" borderId="0" xfId="7" applyFont="1" applyFill="1" applyBorder="1" applyAlignment="1">
      <alignment vertical="center"/>
    </xf>
    <xf numFmtId="0" fontId="25" fillId="0" borderId="71" xfId="7" applyFont="1" applyFill="1" applyBorder="1" applyAlignment="1">
      <alignment vertical="center"/>
    </xf>
    <xf numFmtId="0" fontId="25" fillId="0" borderId="69" xfId="7" applyNumberFormat="1" applyFont="1" applyFill="1" applyBorder="1" applyAlignment="1">
      <alignment vertical="center"/>
    </xf>
    <xf numFmtId="0" fontId="25" fillId="0" borderId="0" xfId="7" applyFont="1" applyFill="1" applyBorder="1"/>
    <xf numFmtId="0" fontId="25" fillId="0" borderId="0" xfId="7" applyFont="1" applyBorder="1"/>
    <xf numFmtId="0" fontId="25" fillId="0" borderId="0" xfId="7" applyFont="1" applyBorder="1" applyAlignment="1">
      <alignment vertical="center"/>
    </xf>
    <xf numFmtId="0" fontId="25" fillId="0" borderId="69" xfId="7" quotePrefix="1" applyNumberFormat="1" applyFont="1" applyBorder="1" applyAlignment="1">
      <alignment horizontal="center" vertical="center"/>
    </xf>
    <xf numFmtId="0" fontId="25" fillId="0" borderId="56" xfId="7" quotePrefix="1" applyNumberFormat="1" applyFont="1" applyBorder="1" applyAlignment="1">
      <alignment horizontal="center" vertical="center"/>
    </xf>
    <xf numFmtId="0" fontId="25" fillId="0" borderId="69" xfId="7" applyNumberFormat="1" applyFont="1" applyBorder="1" applyAlignment="1">
      <alignment vertical="center"/>
    </xf>
    <xf numFmtId="2" fontId="25" fillId="6" borderId="0" xfId="7" applyNumberFormat="1" applyFont="1" applyFill="1" applyBorder="1" applyAlignment="1">
      <alignment horizontal="left" vertical="center"/>
    </xf>
    <xf numFmtId="0" fontId="25" fillId="0" borderId="0" xfId="7" applyNumberFormat="1" applyFont="1" applyBorder="1" applyAlignment="1">
      <alignment horizontal="right" vertical="center"/>
    </xf>
    <xf numFmtId="1" fontId="25" fillId="6" borderId="0" xfId="7" applyNumberFormat="1" applyFont="1" applyFill="1" applyBorder="1" applyAlignment="1">
      <alignment horizontal="left" vertical="center"/>
    </xf>
    <xf numFmtId="2" fontId="25" fillId="0" borderId="0" xfId="7" applyNumberFormat="1" applyFont="1" applyBorder="1" applyAlignment="1">
      <alignment horizontal="left" vertical="center"/>
    </xf>
    <xf numFmtId="0" fontId="25" fillId="6" borderId="0" xfId="7" applyNumberFormat="1" applyFont="1" applyFill="1" applyBorder="1" applyAlignment="1">
      <alignment horizontal="left" vertical="center"/>
    </xf>
    <xf numFmtId="0" fontId="25" fillId="6" borderId="0" xfId="7" applyNumberFormat="1" applyFont="1" applyFill="1" applyBorder="1" applyAlignment="1">
      <alignment vertical="center"/>
    </xf>
    <xf numFmtId="0" fontId="25" fillId="0" borderId="69" xfId="7" applyFont="1" applyBorder="1" applyAlignment="1">
      <alignment vertical="center"/>
    </xf>
    <xf numFmtId="0" fontId="25" fillId="0" borderId="56" xfId="7" applyFont="1" applyBorder="1" applyAlignment="1">
      <alignment vertical="center"/>
    </xf>
    <xf numFmtId="0" fontId="29" fillId="0" borderId="0" xfId="9" applyFont="1" applyBorder="1" applyAlignment="1">
      <alignment vertical="center"/>
    </xf>
    <xf numFmtId="0" fontId="30" fillId="0" borderId="0" xfId="9" applyFont="1" applyBorder="1" applyAlignment="1">
      <alignment horizontal="right" vertical="center"/>
    </xf>
    <xf numFmtId="41" fontId="23" fillId="0" borderId="0" xfId="9" applyNumberFormat="1" applyFont="1" applyBorder="1" applyAlignment="1">
      <alignment horizontal="right" vertical="center"/>
    </xf>
    <xf numFmtId="2" fontId="30" fillId="0" borderId="0" xfId="9" applyNumberFormat="1" applyFont="1" applyBorder="1" applyAlignment="1">
      <alignment vertical="center"/>
    </xf>
    <xf numFmtId="0" fontId="25" fillId="0" borderId="0" xfId="7" applyNumberFormat="1" applyFont="1" applyBorder="1" applyAlignment="1">
      <alignment horizontal="center" vertical="center"/>
    </xf>
    <xf numFmtId="0" fontId="25" fillId="0" borderId="0" xfId="7" applyNumberFormat="1" applyFont="1" applyBorder="1" applyAlignment="1">
      <alignment horizontal="left" vertical="center"/>
    </xf>
    <xf numFmtId="187" fontId="25" fillId="0" borderId="0" xfId="4" applyNumberFormat="1" applyFont="1" applyBorder="1" applyAlignment="1">
      <alignment horizontal="center" vertical="center"/>
    </xf>
    <xf numFmtId="0" fontId="25" fillId="0" borderId="70" xfId="7" applyFont="1" applyBorder="1" applyAlignment="1">
      <alignment vertical="center"/>
    </xf>
    <xf numFmtId="0" fontId="25" fillId="0" borderId="71" xfId="7" applyFont="1" applyBorder="1" applyAlignment="1">
      <alignment vertical="center"/>
    </xf>
    <xf numFmtId="2" fontId="30" fillId="0" borderId="0" xfId="9" applyNumberFormat="1" applyFont="1" applyBorder="1" applyAlignment="1">
      <alignment horizontal="right" vertical="center"/>
    </xf>
    <xf numFmtId="0" fontId="23" fillId="0" borderId="0" xfId="9" applyFont="1" applyBorder="1" applyAlignment="1">
      <alignment horizontal="right" vertical="center"/>
    </xf>
    <xf numFmtId="0" fontId="30" fillId="0" borderId="0" xfId="9" applyFont="1" applyBorder="1" applyAlignment="1">
      <alignment vertical="center"/>
    </xf>
    <xf numFmtId="0" fontId="25" fillId="0" borderId="69" xfId="7" applyNumberFormat="1" applyFont="1" applyBorder="1" applyAlignment="1">
      <alignment horizontal="right" vertical="center"/>
    </xf>
    <xf numFmtId="3" fontId="25" fillId="0" borderId="0" xfId="4" applyNumberFormat="1" applyFont="1" applyBorder="1" applyAlignment="1">
      <alignment horizontal="left" vertical="center"/>
    </xf>
    <xf numFmtId="2" fontId="25" fillId="0" borderId="0" xfId="7" applyNumberFormat="1" applyFont="1" applyBorder="1" applyAlignment="1">
      <alignment horizontal="center" vertical="center"/>
    </xf>
    <xf numFmtId="0" fontId="32" fillId="0" borderId="72" xfId="9" applyFont="1" applyBorder="1" applyAlignment="1">
      <alignment vertical="center"/>
    </xf>
    <xf numFmtId="0" fontId="33" fillId="0" borderId="73" xfId="9" applyFont="1" applyBorder="1" applyAlignment="1">
      <alignment horizontal="right" vertical="center"/>
    </xf>
    <xf numFmtId="41" fontId="33" fillId="0" borderId="73" xfId="9" applyNumberFormat="1" applyFont="1" applyBorder="1" applyAlignment="1">
      <alignment horizontal="right" vertical="center"/>
    </xf>
    <xf numFmtId="2" fontId="33" fillId="0" borderId="74" xfId="9" applyNumberFormat="1" applyFont="1" applyBorder="1" applyAlignment="1">
      <alignment vertical="center"/>
    </xf>
    <xf numFmtId="41" fontId="25" fillId="0" borderId="0" xfId="9" applyNumberFormat="1" applyFont="1" applyAlignment="1">
      <alignment vertical="center"/>
    </xf>
    <xf numFmtId="41" fontId="25" fillId="0" borderId="0" xfId="7" applyNumberFormat="1" applyFont="1" applyBorder="1" applyAlignment="1">
      <alignment horizontal="center" vertical="center"/>
    </xf>
    <xf numFmtId="0" fontId="25" fillId="0" borderId="0" xfId="7" applyFont="1" applyBorder="1" applyAlignment="1">
      <alignment horizontal="center" vertical="center"/>
    </xf>
    <xf numFmtId="182" fontId="25" fillId="0" borderId="0" xfId="4" applyNumberFormat="1" applyFont="1" applyBorder="1" applyAlignment="1">
      <alignment vertical="center"/>
    </xf>
    <xf numFmtId="182" fontId="25" fillId="0" borderId="37" xfId="4" applyNumberFormat="1" applyFont="1" applyBorder="1" applyAlignment="1">
      <alignment vertical="center"/>
    </xf>
    <xf numFmtId="182" fontId="25" fillId="0" borderId="38" xfId="4" applyNumberFormat="1" applyFont="1" applyBorder="1" applyAlignment="1">
      <alignment vertical="center"/>
    </xf>
    <xf numFmtId="182" fontId="25" fillId="0" borderId="69" xfId="4" applyNumberFormat="1" applyFont="1" applyBorder="1" applyAlignment="1">
      <alignment horizontal="right" vertical="center"/>
    </xf>
    <xf numFmtId="0" fontId="32" fillId="0" borderId="70" xfId="9" applyFont="1" applyBorder="1" applyAlignment="1">
      <alignment vertical="center"/>
    </xf>
    <xf numFmtId="0" fontId="33" fillId="0" borderId="0" xfId="9" applyFont="1" applyBorder="1" applyAlignment="1">
      <alignment horizontal="right" vertical="center"/>
    </xf>
    <xf numFmtId="2" fontId="33" fillId="0" borderId="75" xfId="9" applyNumberFormat="1" applyFont="1" applyBorder="1" applyAlignment="1">
      <alignment vertical="center"/>
    </xf>
    <xf numFmtId="0" fontId="32" fillId="0" borderId="45" xfId="9" applyFont="1" applyBorder="1" applyAlignment="1">
      <alignment vertical="center"/>
    </xf>
    <xf numFmtId="2" fontId="33" fillId="0" borderId="76" xfId="9" applyNumberFormat="1" applyFont="1" applyBorder="1" applyAlignment="1">
      <alignment horizontal="right" vertical="center"/>
    </xf>
    <xf numFmtId="0" fontId="33" fillId="0" borderId="76" xfId="9" applyFont="1" applyBorder="1" applyAlignment="1">
      <alignment horizontal="right" vertical="center"/>
    </xf>
    <xf numFmtId="0" fontId="33" fillId="0" borderId="15" xfId="9" applyFont="1" applyBorder="1" applyAlignment="1">
      <alignment vertical="center"/>
    </xf>
    <xf numFmtId="2" fontId="23" fillId="0" borderId="0" xfId="9" applyNumberFormat="1" applyFont="1" applyBorder="1" applyAlignment="1">
      <alignment horizontal="right" vertical="center"/>
    </xf>
    <xf numFmtId="0" fontId="23" fillId="0" borderId="0" xfId="9" applyFont="1" applyAlignment="1">
      <alignment horizontal="right" vertical="center"/>
    </xf>
    <xf numFmtId="41" fontId="25" fillId="0" borderId="0" xfId="4" applyFont="1" applyBorder="1" applyAlignment="1">
      <alignment vertical="center"/>
    </xf>
    <xf numFmtId="41" fontId="25" fillId="0" borderId="69" xfId="4" applyFont="1" applyBorder="1" applyAlignment="1">
      <alignment vertical="center"/>
    </xf>
    <xf numFmtId="0" fontId="25" fillId="0" borderId="41" xfId="7" applyNumberFormat="1" applyFont="1" applyBorder="1" applyAlignment="1">
      <alignment vertical="center"/>
    </xf>
    <xf numFmtId="0" fontId="25" fillId="0" borderId="77" xfId="7" applyNumberFormat="1" applyFont="1" applyBorder="1" applyAlignment="1">
      <alignment vertical="center"/>
    </xf>
    <xf numFmtId="0" fontId="25" fillId="0" borderId="77" xfId="7" applyNumberFormat="1" applyFont="1" applyBorder="1" applyAlignment="1">
      <alignment horizontal="center" vertical="center"/>
    </xf>
    <xf numFmtId="41" fontId="25" fillId="0" borderId="77" xfId="4" applyFont="1" applyBorder="1" applyAlignment="1">
      <alignment vertical="center"/>
    </xf>
    <xf numFmtId="0" fontId="25" fillId="0" borderId="77" xfId="4" applyNumberFormat="1" applyFont="1" applyBorder="1" applyAlignment="1">
      <alignment vertical="center"/>
    </xf>
    <xf numFmtId="41" fontId="25" fillId="0" borderId="12" xfId="4" applyFont="1" applyBorder="1" applyAlignment="1">
      <alignment vertical="center"/>
    </xf>
    <xf numFmtId="41" fontId="25" fillId="0" borderId="6" xfId="4" applyFont="1" applyBorder="1" applyAlignment="1">
      <alignment vertical="center"/>
    </xf>
    <xf numFmtId="41" fontId="25" fillId="0" borderId="41" xfId="4" applyFont="1" applyBorder="1" applyAlignment="1">
      <alignment vertical="center"/>
    </xf>
    <xf numFmtId="0" fontId="25" fillId="0" borderId="78" xfId="7" applyFont="1" applyBorder="1" applyAlignment="1">
      <alignment vertical="center"/>
    </xf>
    <xf numFmtId="0" fontId="25" fillId="0" borderId="69" xfId="7" applyFont="1" applyBorder="1" applyAlignment="1">
      <alignment horizontal="left" vertical="center"/>
    </xf>
    <xf numFmtId="188" fontId="25" fillId="0" borderId="0" xfId="7" applyNumberFormat="1" applyFont="1" applyBorder="1" applyAlignment="1">
      <alignment horizontal="left" vertical="center"/>
    </xf>
    <xf numFmtId="0" fontId="25" fillId="0" borderId="0" xfId="7" applyFont="1" applyBorder="1" applyAlignment="1">
      <alignment horizontal="left" vertical="center"/>
    </xf>
    <xf numFmtId="185" fontId="25" fillId="0" borderId="0" xfId="7" applyNumberFormat="1" applyFont="1" applyBorder="1" applyAlignment="1">
      <alignment horizontal="center" vertical="center"/>
    </xf>
    <xf numFmtId="41" fontId="25" fillId="0" borderId="0" xfId="7" applyNumberFormat="1" applyFont="1" applyBorder="1" applyAlignment="1">
      <alignment vertical="center"/>
    </xf>
    <xf numFmtId="182" fontId="25" fillId="0" borderId="38" xfId="4" applyNumberFormat="1" applyFont="1" applyBorder="1" applyAlignment="1">
      <alignment horizontal="right" vertical="center"/>
    </xf>
    <xf numFmtId="0" fontId="25" fillId="0" borderId="45" xfId="7" applyFont="1" applyBorder="1" applyAlignment="1">
      <alignment vertical="center"/>
    </xf>
    <xf numFmtId="0" fontId="25" fillId="0" borderId="76" xfId="7" applyFont="1" applyBorder="1" applyAlignment="1">
      <alignment vertical="center"/>
    </xf>
    <xf numFmtId="0" fontId="25" fillId="0" borderId="7" xfId="7" applyFont="1" applyBorder="1" applyAlignment="1">
      <alignment vertical="center"/>
    </xf>
    <xf numFmtId="0" fontId="25" fillId="0" borderId="46" xfId="7" applyNumberFormat="1" applyFont="1" applyBorder="1" applyAlignment="1">
      <alignment vertical="center"/>
    </xf>
    <xf numFmtId="0" fontId="25" fillId="0" borderId="76" xfId="7" applyNumberFormat="1" applyFont="1" applyBorder="1" applyAlignment="1">
      <alignment vertical="center"/>
    </xf>
    <xf numFmtId="0" fontId="25" fillId="0" borderId="76" xfId="7" applyNumberFormat="1" applyFont="1" applyBorder="1" applyAlignment="1">
      <alignment horizontal="center" vertical="center"/>
    </xf>
    <xf numFmtId="41" fontId="25" fillId="0" borderId="76" xfId="4" applyFont="1" applyBorder="1" applyAlignment="1">
      <alignment vertical="center"/>
    </xf>
    <xf numFmtId="0" fontId="25" fillId="0" borderId="76" xfId="4" applyNumberFormat="1" applyFont="1" applyBorder="1" applyAlignment="1">
      <alignment vertical="center"/>
    </xf>
    <xf numFmtId="41" fontId="25" fillId="0" borderId="14" xfId="4" applyFont="1" applyBorder="1" applyAlignment="1">
      <alignment vertical="center"/>
    </xf>
    <xf numFmtId="41" fontId="25" fillId="0" borderId="8" xfId="4" applyFont="1" applyBorder="1" applyAlignment="1">
      <alignment vertical="center"/>
    </xf>
    <xf numFmtId="0" fontId="25" fillId="0" borderId="46" xfId="7" applyFont="1" applyBorder="1" applyAlignment="1">
      <alignment vertical="center"/>
    </xf>
    <xf numFmtId="0" fontId="25" fillId="0" borderId="60" xfId="7" applyFont="1" applyBorder="1" applyAlignment="1">
      <alignment vertical="center"/>
    </xf>
    <xf numFmtId="41" fontId="25" fillId="0" borderId="0" xfId="4" applyFont="1" applyAlignment="1">
      <alignment vertical="center"/>
    </xf>
    <xf numFmtId="0" fontId="25" fillId="0" borderId="79" xfId="9" applyNumberFormat="1" applyFont="1" applyBorder="1" applyAlignment="1">
      <alignment horizontal="left" vertical="center"/>
    </xf>
    <xf numFmtId="0" fontId="25" fillId="0" borderId="80" xfId="9" applyNumberFormat="1" applyFont="1" applyBorder="1" applyAlignment="1">
      <alignment vertical="center"/>
    </xf>
    <xf numFmtId="0" fontId="25" fillId="0" borderId="80" xfId="9" applyNumberFormat="1" applyFont="1" applyBorder="1" applyAlignment="1">
      <alignment horizontal="right" vertical="center"/>
    </xf>
    <xf numFmtId="0" fontId="25" fillId="0" borderId="80" xfId="9" applyNumberFormat="1" applyFont="1" applyBorder="1" applyAlignment="1">
      <alignment horizontal="center" vertical="center"/>
    </xf>
    <xf numFmtId="0" fontId="25" fillId="0" borderId="80" xfId="4" applyNumberFormat="1" applyFont="1" applyBorder="1" applyAlignment="1">
      <alignment vertical="center"/>
    </xf>
    <xf numFmtId="41" fontId="25" fillId="0" borderId="31" xfId="4" applyFont="1" applyBorder="1" applyAlignment="1">
      <alignment vertical="center"/>
    </xf>
    <xf numFmtId="41" fontId="25" fillId="0" borderId="33" xfId="4" applyFont="1" applyBorder="1" applyAlignment="1">
      <alignment vertical="center"/>
    </xf>
    <xf numFmtId="41" fontId="25" fillId="0" borderId="79" xfId="4" applyFont="1" applyBorder="1" applyAlignment="1">
      <alignment vertical="center"/>
    </xf>
    <xf numFmtId="0" fontId="25" fillId="0" borderId="81" xfId="9" applyFont="1" applyBorder="1" applyAlignment="1">
      <alignment vertical="center"/>
    </xf>
    <xf numFmtId="0" fontId="25" fillId="0" borderId="0" xfId="9" applyNumberFormat="1" applyFont="1" applyBorder="1" applyAlignment="1">
      <alignment horizontal="right" vertical="center"/>
    </xf>
    <xf numFmtId="185" fontId="25" fillId="7" borderId="0" xfId="9" applyNumberFormat="1" applyFont="1" applyFill="1" applyBorder="1" applyAlignment="1">
      <alignment horizontal="center" vertical="center"/>
    </xf>
    <xf numFmtId="189" fontId="25" fillId="0" borderId="0" xfId="9" applyNumberFormat="1" applyFont="1" applyBorder="1" applyAlignment="1">
      <alignment horizontal="right" vertical="center"/>
    </xf>
    <xf numFmtId="0" fontId="25" fillId="0" borderId="0" xfId="9" applyNumberFormat="1" applyFont="1" applyBorder="1" applyAlignment="1">
      <alignment vertical="center"/>
    </xf>
    <xf numFmtId="0" fontId="25" fillId="0" borderId="56" xfId="9" applyFont="1" applyBorder="1" applyAlignment="1">
      <alignment vertical="center"/>
    </xf>
    <xf numFmtId="0" fontId="25" fillId="8" borderId="80" xfId="9" applyNumberFormat="1" applyFont="1" applyFill="1" applyBorder="1" applyAlignment="1">
      <alignment horizontal="center" vertical="center"/>
    </xf>
    <xf numFmtId="0" fontId="25" fillId="0" borderId="80" xfId="9" applyFont="1" applyBorder="1" applyAlignment="1">
      <alignment vertical="center"/>
    </xf>
    <xf numFmtId="0" fontId="25" fillId="0" borderId="70" xfId="9" applyFont="1" applyBorder="1" applyAlignment="1">
      <alignment vertical="center"/>
    </xf>
    <xf numFmtId="0" fontId="25" fillId="0" borderId="71" xfId="9" applyFont="1" applyBorder="1" applyAlignment="1">
      <alignment vertical="center"/>
    </xf>
    <xf numFmtId="0" fontId="25" fillId="0" borderId="69" xfId="9" applyNumberFormat="1" applyFont="1" applyBorder="1" applyAlignment="1">
      <alignment horizontal="right" vertical="center"/>
    </xf>
    <xf numFmtId="0" fontId="25" fillId="0" borderId="0" xfId="9" applyNumberFormat="1" applyFont="1" applyBorder="1" applyAlignment="1">
      <alignment horizontal="center" vertical="center"/>
    </xf>
    <xf numFmtId="0" fontId="25" fillId="0" borderId="0" xfId="9" applyFont="1" applyAlignment="1">
      <alignment horizontal="center" vertical="center"/>
    </xf>
    <xf numFmtId="2" fontId="25" fillId="0" borderId="0" xfId="9" applyNumberFormat="1" applyFont="1" applyBorder="1" applyAlignment="1">
      <alignment horizontal="center" vertical="center"/>
    </xf>
    <xf numFmtId="0" fontId="25" fillId="8" borderId="0" xfId="9" applyNumberFormat="1" applyFont="1" applyFill="1" applyBorder="1" applyAlignment="1">
      <alignment horizontal="center" vertical="center"/>
    </xf>
    <xf numFmtId="0" fontId="25" fillId="0" borderId="0" xfId="4" applyNumberFormat="1" applyFont="1" applyBorder="1" applyAlignment="1">
      <alignment horizontal="left" vertical="center"/>
    </xf>
    <xf numFmtId="0" fontId="25" fillId="0" borderId="73" xfId="9" applyFont="1" applyBorder="1" applyAlignment="1">
      <alignment vertical="center"/>
    </xf>
    <xf numFmtId="0" fontId="25" fillId="0" borderId="0" xfId="9" applyNumberFormat="1" applyFont="1" applyBorder="1" applyAlignment="1">
      <alignment horizontal="left" vertical="center"/>
    </xf>
    <xf numFmtId="2" fontId="25" fillId="6" borderId="0" xfId="9" applyNumberFormat="1" applyFont="1" applyFill="1" applyBorder="1" applyAlignment="1">
      <alignment horizontal="center" vertical="center"/>
    </xf>
    <xf numFmtId="0" fontId="25" fillId="0" borderId="76" xfId="9" applyFont="1" applyBorder="1" applyAlignment="1">
      <alignment horizontal="center" vertical="center"/>
    </xf>
    <xf numFmtId="0" fontId="25" fillId="0" borderId="76" xfId="9" applyFont="1" applyBorder="1" applyAlignment="1">
      <alignment vertical="center"/>
    </xf>
    <xf numFmtId="0" fontId="25" fillId="0" borderId="76" xfId="9" applyFont="1" applyBorder="1" applyAlignment="1">
      <alignment horizontal="right" vertical="center"/>
    </xf>
    <xf numFmtId="0" fontId="25" fillId="0" borderId="0" xfId="9" applyFont="1" applyAlignment="1">
      <alignment horizontal="right" vertical="center"/>
    </xf>
    <xf numFmtId="2" fontId="25" fillId="0" borderId="0" xfId="9" applyNumberFormat="1" applyFont="1" applyAlignment="1">
      <alignment horizontal="center" vertical="center"/>
    </xf>
    <xf numFmtId="0" fontId="25" fillId="6" borderId="0" xfId="9" applyFont="1" applyFill="1" applyAlignment="1">
      <alignment horizontal="left" vertical="center"/>
    </xf>
    <xf numFmtId="182" fontId="25" fillId="6" borderId="0" xfId="4" applyNumberFormat="1" applyFont="1" applyFill="1" applyAlignment="1">
      <alignment horizontal="right" vertical="center"/>
    </xf>
    <xf numFmtId="0" fontId="34" fillId="0" borderId="0" xfId="9" applyFont="1" applyAlignment="1">
      <alignment horizontal="right" vertical="center"/>
    </xf>
    <xf numFmtId="0" fontId="34" fillId="0" borderId="0" xfId="9" applyFont="1" applyAlignment="1">
      <alignment horizontal="center" vertical="center"/>
    </xf>
    <xf numFmtId="0" fontId="34" fillId="0" borderId="0" xfId="9" applyFont="1" applyAlignment="1">
      <alignment vertical="center"/>
    </xf>
    <xf numFmtId="0" fontId="25" fillId="0" borderId="0" xfId="9" applyFont="1" applyAlignment="1">
      <alignment horizontal="left" vertical="center"/>
    </xf>
    <xf numFmtId="190" fontId="25" fillId="0" borderId="0" xfId="4" applyNumberFormat="1" applyFont="1" applyBorder="1" applyAlignment="1">
      <alignment horizontal="right" vertical="center"/>
    </xf>
    <xf numFmtId="0" fontId="25" fillId="0" borderId="69" xfId="9" applyNumberFormat="1" applyFont="1" applyBorder="1" applyAlignment="1">
      <alignment vertical="center"/>
    </xf>
    <xf numFmtId="0" fontId="25" fillId="0" borderId="0" xfId="9" applyFont="1" applyFill="1" applyBorder="1" applyAlignment="1">
      <alignment vertical="center"/>
    </xf>
    <xf numFmtId="0" fontId="25" fillId="0" borderId="0" xfId="9" applyNumberFormat="1" applyFont="1" applyFill="1" applyBorder="1" applyAlignment="1">
      <alignment horizontal="center" vertical="center"/>
    </xf>
    <xf numFmtId="0" fontId="25" fillId="6" borderId="0" xfId="9" applyNumberFormat="1" applyFont="1" applyFill="1" applyBorder="1" applyAlignment="1">
      <alignment horizontal="center" vertical="center"/>
    </xf>
    <xf numFmtId="0" fontId="25" fillId="0" borderId="0" xfId="9" applyNumberFormat="1" applyFont="1" applyFill="1" applyBorder="1" applyAlignment="1">
      <alignment horizontal="right" vertical="center"/>
    </xf>
    <xf numFmtId="0" fontId="25" fillId="0" borderId="0" xfId="9" applyNumberFormat="1" applyFont="1" applyFill="1" applyBorder="1" applyAlignment="1">
      <alignment horizontal="left" vertical="center"/>
    </xf>
    <xf numFmtId="41" fontId="25" fillId="0" borderId="0" xfId="4" applyFont="1" applyFill="1" applyBorder="1" applyAlignment="1">
      <alignment horizontal="left" vertical="center"/>
    </xf>
    <xf numFmtId="190" fontId="25" fillId="6" borderId="0" xfId="4" applyNumberFormat="1" applyFont="1" applyFill="1" applyBorder="1" applyAlignment="1">
      <alignment horizontal="right" vertical="center"/>
    </xf>
    <xf numFmtId="0" fontId="35" fillId="0" borderId="82" xfId="9" applyFont="1" applyBorder="1" applyAlignment="1">
      <alignment vertical="center"/>
    </xf>
    <xf numFmtId="0" fontId="35" fillId="0" borderId="83" xfId="7" applyNumberFormat="1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horizontal="center" vertical="center"/>
    </xf>
    <xf numFmtId="2" fontId="25" fillId="0" borderId="0" xfId="9" applyNumberFormat="1" applyFont="1" applyFill="1" applyBorder="1" applyAlignment="1">
      <alignment horizontal="left" vertical="center"/>
    </xf>
    <xf numFmtId="0" fontId="35" fillId="0" borderId="84" xfId="9" applyFont="1" applyBorder="1" applyAlignment="1">
      <alignment vertical="center"/>
    </xf>
    <xf numFmtId="0" fontId="35" fillId="0" borderId="85" xfId="9" applyFont="1" applyBorder="1" applyAlignment="1">
      <alignment vertical="center"/>
    </xf>
    <xf numFmtId="0" fontId="25" fillId="6" borderId="0" xfId="9" applyNumberFormat="1" applyFont="1" applyFill="1" applyBorder="1" applyAlignment="1">
      <alignment horizontal="left" vertical="center"/>
    </xf>
    <xf numFmtId="0" fontId="25" fillId="0" borderId="0" xfId="4" applyNumberFormat="1" applyFont="1" applyFill="1" applyBorder="1" applyAlignment="1">
      <alignment vertical="center"/>
    </xf>
    <xf numFmtId="1" fontId="25" fillId="0" borderId="0" xfId="9" applyNumberFormat="1" applyFont="1" applyAlignment="1">
      <alignment horizontal="center" vertical="center"/>
    </xf>
    <xf numFmtId="0" fontId="25" fillId="0" borderId="0" xfId="9" quotePrefix="1" applyNumberFormat="1" applyFont="1" applyBorder="1" applyAlignment="1">
      <alignment horizontal="center" vertical="center"/>
    </xf>
    <xf numFmtId="185" fontId="25" fillId="0" borderId="0" xfId="4" applyNumberFormat="1" applyFont="1" applyAlignment="1">
      <alignment horizontal="right" vertical="center"/>
    </xf>
    <xf numFmtId="0" fontId="36" fillId="0" borderId="0" xfId="9" applyFont="1" applyAlignment="1">
      <alignment horizontal="right" vertical="center"/>
    </xf>
    <xf numFmtId="0" fontId="36" fillId="0" borderId="0" xfId="9" applyFont="1" applyAlignment="1">
      <alignment horizontal="center" vertical="center"/>
    </xf>
    <xf numFmtId="0" fontId="36" fillId="0" borderId="0" xfId="9" applyFont="1" applyAlignment="1">
      <alignment vertical="center"/>
    </xf>
    <xf numFmtId="190" fontId="25" fillId="0" borderId="0" xfId="4" applyNumberFormat="1" applyFont="1" applyAlignment="1">
      <alignment horizontal="right" vertical="center"/>
    </xf>
    <xf numFmtId="0" fontId="25" fillId="0" borderId="37" xfId="9" applyFont="1" applyBorder="1" applyAlignment="1">
      <alignment vertical="center"/>
    </xf>
    <xf numFmtId="0" fontId="25" fillId="0" borderId="38" xfId="9" applyFont="1" applyBorder="1" applyAlignment="1">
      <alignment vertical="center"/>
    </xf>
    <xf numFmtId="0" fontId="25" fillId="0" borderId="69" xfId="9" applyFont="1" applyBorder="1" applyAlignment="1">
      <alignment vertical="center"/>
    </xf>
    <xf numFmtId="0" fontId="25" fillId="0" borderId="0" xfId="9" applyFont="1"/>
    <xf numFmtId="0" fontId="25" fillId="0" borderId="0" xfId="4" applyNumberFormat="1" applyFont="1" applyBorder="1" applyAlignment="1">
      <alignment horizontal="right" vertical="center"/>
    </xf>
    <xf numFmtId="2" fontId="25" fillId="0" borderId="0" xfId="9" applyNumberFormat="1" applyFont="1" applyBorder="1" applyAlignment="1">
      <alignment vertical="center"/>
    </xf>
    <xf numFmtId="41" fontId="25" fillId="0" borderId="0" xfId="4" applyFont="1" applyBorder="1" applyAlignment="1">
      <alignment horizontal="right" vertical="center"/>
    </xf>
    <xf numFmtId="41" fontId="23" fillId="0" borderId="0" xfId="4" applyFont="1" applyAlignment="1">
      <alignment vertical="center"/>
    </xf>
    <xf numFmtId="41" fontId="25" fillId="0" borderId="0" xfId="9" applyNumberFormat="1" applyFont="1" applyBorder="1" applyAlignment="1">
      <alignment vertical="center"/>
    </xf>
    <xf numFmtId="191" fontId="25" fillId="0" borderId="0" xfId="4" applyNumberFormat="1" applyFont="1" applyBorder="1" applyAlignment="1">
      <alignment vertical="center"/>
    </xf>
    <xf numFmtId="182" fontId="25" fillId="0" borderId="0" xfId="4" applyNumberFormat="1" applyFont="1" applyBorder="1" applyAlignment="1">
      <alignment horizontal="right" vertical="center"/>
    </xf>
    <xf numFmtId="0" fontId="25" fillId="0" borderId="86" xfId="9" applyFont="1" applyBorder="1" applyAlignment="1">
      <alignment vertical="center"/>
    </xf>
    <xf numFmtId="0" fontId="25" fillId="0" borderId="27" xfId="9" applyFont="1" applyBorder="1" applyAlignment="1">
      <alignment vertical="center"/>
    </xf>
    <xf numFmtId="0" fontId="25" fillId="0" borderId="87" xfId="9" applyNumberFormat="1" applyFont="1" applyBorder="1" applyAlignment="1">
      <alignment vertical="center"/>
    </xf>
    <xf numFmtId="0" fontId="25" fillId="0" borderId="66" xfId="9" applyNumberFormat="1" applyFont="1" applyBorder="1" applyAlignment="1">
      <alignment vertical="center"/>
    </xf>
    <xf numFmtId="0" fontId="25" fillId="0" borderId="66" xfId="9" applyNumberFormat="1" applyFont="1" applyBorder="1" applyAlignment="1">
      <alignment horizontal="center" vertical="center"/>
    </xf>
    <xf numFmtId="41" fontId="25" fillId="0" borderId="26" xfId="9" applyNumberFormat="1" applyFont="1" applyBorder="1" applyAlignment="1">
      <alignment vertical="center"/>
    </xf>
    <xf numFmtId="41" fontId="25" fillId="0" borderId="29" xfId="9" applyNumberFormat="1" applyFont="1" applyBorder="1" applyAlignment="1">
      <alignment vertical="center"/>
    </xf>
    <xf numFmtId="41" fontId="25" fillId="0" borderId="87" xfId="9" applyNumberFormat="1" applyFont="1" applyBorder="1" applyAlignment="1">
      <alignment vertical="center"/>
    </xf>
    <xf numFmtId="0" fontId="25" fillId="0" borderId="42" xfId="9" applyFont="1" applyBorder="1" applyAlignment="1">
      <alignment vertical="center"/>
    </xf>
    <xf numFmtId="0" fontId="25" fillId="9" borderId="86" xfId="9" applyFont="1" applyFill="1" applyBorder="1" applyAlignment="1">
      <alignment vertical="center"/>
    </xf>
    <xf numFmtId="0" fontId="25" fillId="9" borderId="27" xfId="9" applyFont="1" applyFill="1" applyBorder="1" applyAlignment="1">
      <alignment vertical="center"/>
    </xf>
    <xf numFmtId="0" fontId="25" fillId="9" borderId="87" xfId="9" applyNumberFormat="1" applyFont="1" applyFill="1" applyBorder="1" applyAlignment="1">
      <alignment vertical="center"/>
    </xf>
    <xf numFmtId="0" fontId="25" fillId="9" borderId="66" xfId="9" applyNumberFormat="1" applyFont="1" applyFill="1" applyBorder="1" applyAlignment="1">
      <alignment vertical="center"/>
    </xf>
    <xf numFmtId="0" fontId="25" fillId="9" borderId="66" xfId="9" applyNumberFormat="1" applyFont="1" applyFill="1" applyBorder="1" applyAlignment="1">
      <alignment horizontal="center" vertical="center"/>
    </xf>
    <xf numFmtId="41" fontId="25" fillId="9" borderId="26" xfId="9" applyNumberFormat="1" applyFont="1" applyFill="1" applyBorder="1" applyAlignment="1">
      <alignment vertical="center"/>
    </xf>
    <xf numFmtId="41" fontId="25" fillId="9" borderId="29" xfId="9" applyNumberFormat="1" applyFont="1" applyFill="1" applyBorder="1" applyAlignment="1">
      <alignment vertical="center"/>
    </xf>
    <xf numFmtId="41" fontId="25" fillId="9" borderId="87" xfId="9" applyNumberFormat="1" applyFont="1" applyFill="1" applyBorder="1" applyAlignment="1">
      <alignment vertical="center"/>
    </xf>
    <xf numFmtId="0" fontId="25" fillId="9" borderId="42" xfId="9" applyFont="1" applyFill="1" applyBorder="1" applyAlignment="1">
      <alignment vertical="center"/>
    </xf>
    <xf numFmtId="41" fontId="33" fillId="0" borderId="0" xfId="9" applyNumberFormat="1" applyFont="1" applyBorder="1" applyAlignment="1">
      <alignment horizontal="right" vertical="center"/>
    </xf>
    <xf numFmtId="41" fontId="33" fillId="0" borderId="76" xfId="9" applyNumberFormat="1" applyFont="1" applyBorder="1" applyAlignment="1">
      <alignment horizontal="right" vertical="center"/>
    </xf>
    <xf numFmtId="0" fontId="25" fillId="0" borderId="88" xfId="9" applyFont="1" applyBorder="1" applyAlignment="1">
      <alignment vertical="center"/>
    </xf>
    <xf numFmtId="0" fontId="25" fillId="0" borderId="77" xfId="9" applyFont="1" applyBorder="1" applyAlignment="1">
      <alignment vertical="center"/>
    </xf>
    <xf numFmtId="0" fontId="25" fillId="0" borderId="5" xfId="9" applyFont="1" applyBorder="1" applyAlignment="1">
      <alignment vertical="center"/>
    </xf>
    <xf numFmtId="0" fontId="25" fillId="0" borderId="41" xfId="9" applyNumberFormat="1" applyFont="1" applyBorder="1" applyAlignment="1">
      <alignment vertical="center"/>
    </xf>
    <xf numFmtId="0" fontId="25" fillId="0" borderId="77" xfId="9" applyNumberFormat="1" applyFont="1" applyBorder="1" applyAlignment="1">
      <alignment vertical="center"/>
    </xf>
    <xf numFmtId="41" fontId="25" fillId="0" borderId="77" xfId="9" applyNumberFormat="1" applyFont="1" applyBorder="1" applyAlignment="1">
      <alignment vertical="center"/>
    </xf>
    <xf numFmtId="0" fontId="25" fillId="0" borderId="77" xfId="9" applyNumberFormat="1" applyFont="1" applyBorder="1" applyAlignment="1">
      <alignment horizontal="center" vertical="center"/>
    </xf>
    <xf numFmtId="191" fontId="25" fillId="0" borderId="77" xfId="4" applyNumberFormat="1" applyFont="1" applyBorder="1" applyAlignment="1">
      <alignment vertical="center"/>
    </xf>
    <xf numFmtId="182" fontId="25" fillId="0" borderId="77" xfId="4" applyNumberFormat="1" applyFont="1" applyBorder="1" applyAlignment="1">
      <alignment horizontal="right" vertical="center"/>
    </xf>
    <xf numFmtId="182" fontId="25" fillId="0" borderId="12" xfId="4" applyNumberFormat="1" applyFont="1" applyBorder="1" applyAlignment="1">
      <alignment vertical="center"/>
    </xf>
    <xf numFmtId="182" fontId="25" fillId="0" borderId="6" xfId="4" applyNumberFormat="1" applyFont="1" applyBorder="1" applyAlignment="1">
      <alignment vertical="center"/>
    </xf>
    <xf numFmtId="182" fontId="25" fillId="0" borderId="41" xfId="4" applyNumberFormat="1" applyFont="1" applyBorder="1" applyAlignment="1">
      <alignment horizontal="right" vertical="center"/>
    </xf>
    <xf numFmtId="0" fontId="25" fillId="0" borderId="78" xfId="9" applyFont="1" applyBorder="1" applyAlignment="1">
      <alignment vertical="center"/>
    </xf>
    <xf numFmtId="0" fontId="25" fillId="0" borderId="87" xfId="7" applyNumberFormat="1" applyFont="1" applyBorder="1" applyAlignment="1">
      <alignment vertical="center"/>
    </xf>
    <xf numFmtId="0" fontId="25" fillId="0" borderId="66" xfId="7" applyNumberFormat="1" applyFont="1" applyBorder="1" applyAlignment="1">
      <alignment vertical="center"/>
    </xf>
    <xf numFmtId="0" fontId="25" fillId="0" borderId="66" xfId="7" applyNumberFormat="1" applyFont="1" applyBorder="1" applyAlignment="1">
      <alignment horizontal="center" vertical="center"/>
    </xf>
    <xf numFmtId="0" fontId="38" fillId="0" borderId="0" xfId="11" applyNumberFormat="1" applyFont="1" applyFill="1" applyAlignment="1"/>
    <xf numFmtId="0" fontId="39" fillId="0" borderId="0" xfId="11" applyNumberFormat="1" applyFont="1" applyFill="1" applyAlignment="1">
      <alignment horizontal="centerContinuous" vertical="center"/>
    </xf>
    <xf numFmtId="0" fontId="39" fillId="0" borderId="0" xfId="11" applyNumberFormat="1" applyFont="1" applyFill="1" applyBorder="1" applyAlignment="1">
      <alignment horizontal="centerContinuous" vertical="center"/>
    </xf>
    <xf numFmtId="0" fontId="39" fillId="0" borderId="0" xfId="11" applyNumberFormat="1" applyFont="1" applyFill="1" applyAlignment="1"/>
    <xf numFmtId="0" fontId="40" fillId="0" borderId="67" xfId="11" applyNumberFormat="1" applyFont="1" applyFill="1" applyBorder="1" applyAlignment="1">
      <alignment horizontal="left" vertical="center" indent="1"/>
    </xf>
    <xf numFmtId="0" fontId="40" fillId="0" borderId="34" xfId="11" applyNumberFormat="1" applyFont="1" applyFill="1" applyBorder="1" applyAlignment="1">
      <alignment horizontal="left" vertical="center" indent="1"/>
    </xf>
    <xf numFmtId="0" fontId="25" fillId="0" borderId="34" xfId="11" quotePrefix="1" applyNumberFormat="1" applyFont="1" applyFill="1" applyBorder="1" applyAlignment="1">
      <alignment horizontal="center" vertical="center"/>
    </xf>
    <xf numFmtId="0" fontId="25" fillId="0" borderId="11" xfId="11" quotePrefix="1" applyNumberFormat="1" applyFont="1" applyFill="1" applyBorder="1" applyAlignment="1">
      <alignment horizontal="center" vertical="center"/>
    </xf>
    <xf numFmtId="0" fontId="25" fillId="0" borderId="0" xfId="11" applyNumberFormat="1" applyFont="1" applyFill="1" applyAlignment="1">
      <alignment horizontal="center" vertical="center"/>
    </xf>
    <xf numFmtId="0" fontId="25" fillId="0" borderId="31" xfId="11" applyNumberFormat="1" applyFont="1" applyFill="1" applyBorder="1" applyAlignment="1">
      <alignment horizontal="center" vertical="center"/>
    </xf>
    <xf numFmtId="0" fontId="25" fillId="0" borderId="33" xfId="11" applyNumberFormat="1" applyFont="1" applyFill="1" applyBorder="1" applyAlignment="1">
      <alignment horizontal="center" vertical="center"/>
    </xf>
    <xf numFmtId="0" fontId="25" fillId="0" borderId="36" xfId="11" applyNumberFormat="1" applyFont="1" applyFill="1" applyBorder="1" applyAlignment="1">
      <alignment horizontal="center" vertical="center"/>
    </xf>
    <xf numFmtId="0" fontId="25" fillId="0" borderId="0" xfId="11" applyNumberFormat="1" applyFont="1" applyFill="1" applyAlignment="1"/>
    <xf numFmtId="0" fontId="25" fillId="0" borderId="37" xfId="11" applyNumberFormat="1" applyFont="1" applyFill="1" applyBorder="1" applyAlignment="1">
      <alignment horizontal="center" vertical="center"/>
    </xf>
    <xf numFmtId="0" fontId="25" fillId="0" borderId="38" xfId="11" applyNumberFormat="1" applyFont="1" applyFill="1" applyBorder="1" applyAlignment="1">
      <alignment horizontal="center" vertical="center"/>
    </xf>
    <xf numFmtId="0" fontId="25" fillId="0" borderId="39" xfId="11" applyNumberFormat="1" applyFont="1" applyFill="1" applyBorder="1" applyAlignment="1">
      <alignment horizontal="center" vertical="center"/>
    </xf>
    <xf numFmtId="0" fontId="25" fillId="0" borderId="12" xfId="11" applyNumberFormat="1" applyFont="1" applyFill="1" applyBorder="1" applyAlignment="1">
      <alignment horizontal="center" vertical="center"/>
    </xf>
    <xf numFmtId="0" fontId="25" fillId="0" borderId="6" xfId="11" applyNumberFormat="1" applyFont="1" applyFill="1" applyBorder="1" applyAlignment="1">
      <alignment horizontal="center" vertical="center"/>
    </xf>
    <xf numFmtId="0" fontId="25" fillId="0" borderId="40" xfId="11" applyNumberFormat="1" applyFont="1" applyFill="1" applyBorder="1" applyAlignment="1">
      <alignment horizontal="center" vertical="center"/>
    </xf>
    <xf numFmtId="0" fontId="25" fillId="0" borderId="26" xfId="11" applyNumberFormat="1" applyFont="1" applyFill="1" applyBorder="1" applyAlignment="1">
      <alignment horizontal="center" vertical="center"/>
    </xf>
    <xf numFmtId="0" fontId="25" fillId="0" borderId="29" xfId="11" applyNumberFormat="1" applyFont="1" applyFill="1" applyBorder="1" applyAlignment="1">
      <alignment horizontal="center" vertical="center"/>
    </xf>
    <xf numFmtId="0" fontId="25" fillId="0" borderId="43" xfId="11" applyNumberFormat="1" applyFont="1" applyFill="1" applyBorder="1" applyAlignment="1">
      <alignment horizontal="center" vertical="center"/>
    </xf>
    <xf numFmtId="0" fontId="25" fillId="0" borderId="42" xfId="11" applyNumberFormat="1" applyFont="1" applyFill="1" applyBorder="1" applyAlignment="1">
      <alignment horizontal="center" vertical="center"/>
    </xf>
    <xf numFmtId="0" fontId="25" fillId="0" borderId="35" xfId="11" applyNumberFormat="1" applyFont="1" applyFill="1" applyBorder="1" applyAlignment="1">
      <alignment horizontal="center" vertical="center"/>
    </xf>
    <xf numFmtId="0" fontId="25" fillId="0" borderId="18" xfId="11" applyNumberFormat="1" applyFont="1" applyFill="1" applyBorder="1" applyAlignment="1">
      <alignment horizontal="center" vertical="center"/>
    </xf>
    <xf numFmtId="0" fontId="25" fillId="0" borderId="4" xfId="11" applyNumberFormat="1" applyFont="1" applyFill="1" applyBorder="1" applyAlignment="1">
      <alignment horizontal="center" vertical="center"/>
    </xf>
    <xf numFmtId="0" fontId="25" fillId="0" borderId="44" xfId="11" applyNumberFormat="1" applyFont="1" applyFill="1" applyBorder="1" applyAlignment="1">
      <alignment horizontal="center" vertical="center"/>
    </xf>
    <xf numFmtId="0" fontId="25" fillId="0" borderId="41" xfId="11" applyNumberFormat="1" applyFont="1" applyFill="1" applyBorder="1" applyAlignment="1">
      <alignment horizontal="center" vertical="center"/>
    </xf>
    <xf numFmtId="0" fontId="25" fillId="0" borderId="40" xfId="1" applyNumberFormat="1" applyFont="1" applyFill="1" applyBorder="1" applyAlignment="1">
      <alignment horizontal="center" vertical="center"/>
    </xf>
    <xf numFmtId="185" fontId="25" fillId="0" borderId="4" xfId="11" applyNumberFormat="1" applyFont="1" applyFill="1" applyBorder="1" applyAlignment="1">
      <alignment horizontal="center" vertical="center"/>
    </xf>
    <xf numFmtId="0" fontId="25" fillId="0" borderId="45" xfId="11" applyNumberFormat="1" applyFont="1" applyFill="1" applyBorder="1" applyAlignment="1">
      <alignment horizontal="center" vertical="center"/>
    </xf>
    <xf numFmtId="0" fontId="25" fillId="0" borderId="46" xfId="11" applyNumberFormat="1" applyFont="1" applyFill="1" applyBorder="1" applyAlignment="1">
      <alignment horizontal="center" vertical="center"/>
    </xf>
    <xf numFmtId="0" fontId="25" fillId="0" borderId="47" xfId="1" applyNumberFormat="1" applyFont="1" applyFill="1" applyBorder="1" applyAlignment="1">
      <alignment horizontal="center" vertical="center"/>
    </xf>
    <xf numFmtId="0" fontId="25" fillId="0" borderId="48" xfId="11" applyNumberFormat="1" applyFont="1" applyFill="1" applyBorder="1" applyAlignment="1">
      <alignment horizontal="center" vertical="center"/>
    </xf>
    <xf numFmtId="0" fontId="25" fillId="0" borderId="9" xfId="11" applyNumberFormat="1" applyFont="1" applyFill="1" applyBorder="1" applyAlignment="1">
      <alignment horizontal="center" vertical="center"/>
    </xf>
    <xf numFmtId="0" fontId="25" fillId="0" borderId="16" xfId="11" applyNumberFormat="1" applyFont="1" applyFill="1" applyBorder="1" applyAlignment="1">
      <alignment horizontal="center" vertical="center"/>
    </xf>
    <xf numFmtId="0" fontId="25" fillId="0" borderId="49" xfId="11" applyNumberFormat="1" applyFont="1" applyFill="1" applyBorder="1" applyAlignment="1">
      <alignment horizontal="center" vertical="center"/>
    </xf>
    <xf numFmtId="0" fontId="40" fillId="0" borderId="16" xfId="11" applyNumberFormat="1" applyFont="1" applyFill="1" applyBorder="1" applyAlignment="1">
      <alignment horizontal="center" vertical="center"/>
    </xf>
    <xf numFmtId="0" fontId="25" fillId="0" borderId="0" xfId="11" applyNumberFormat="1" applyFont="1" applyFill="1" applyBorder="1" applyAlignment="1">
      <alignment horizontal="center" vertical="center"/>
    </xf>
    <xf numFmtId="0" fontId="40" fillId="0" borderId="0" xfId="11" applyNumberFormat="1" applyFont="1" applyFill="1" applyBorder="1" applyAlignment="1">
      <alignment horizontal="center" vertical="center"/>
    </xf>
    <xf numFmtId="0" fontId="40" fillId="0" borderId="0" xfId="11" applyNumberFormat="1" applyFont="1" applyFill="1" applyBorder="1" applyAlignment="1">
      <alignment horizontal="left" vertical="center" indent="1"/>
    </xf>
    <xf numFmtId="0" fontId="25" fillId="0" borderId="0" xfId="11" applyNumberFormat="1" applyFont="1" applyFill="1" applyAlignment="1">
      <alignment vertical="center"/>
    </xf>
    <xf numFmtId="0" fontId="40" fillId="0" borderId="0" xfId="11" applyNumberFormat="1" applyFont="1" applyFill="1" applyAlignment="1">
      <alignment vertical="center"/>
    </xf>
    <xf numFmtId="0" fontId="25" fillId="0" borderId="0" xfId="11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11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81" fontId="25" fillId="0" borderId="0" xfId="0" applyNumberFormat="1" applyFont="1" applyAlignment="1">
      <alignment vertical="center"/>
    </xf>
    <xf numFmtId="0" fontId="25" fillId="0" borderId="0" xfId="0" applyFont="1" applyAlignment="1">
      <alignment horizontal="right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44" xfId="0" applyFont="1" applyFill="1" applyBorder="1" applyAlignment="1">
      <alignment horizontal="center" vertical="center"/>
    </xf>
    <xf numFmtId="0" fontId="25" fillId="5" borderId="29" xfId="0" applyFont="1" applyFill="1" applyBorder="1" applyAlignment="1">
      <alignment horizontal="center" vertical="center"/>
    </xf>
    <xf numFmtId="0" fontId="25" fillId="5" borderId="43" xfId="0" applyFont="1" applyFill="1" applyBorder="1" applyAlignment="1">
      <alignment horizontal="center" vertical="center"/>
    </xf>
    <xf numFmtId="0" fontId="39" fillId="0" borderId="0" xfId="11" applyNumberFormat="1" applyFont="1" applyFill="1" applyAlignment="1">
      <alignment vertical="center"/>
    </xf>
    <xf numFmtId="0" fontId="39" fillId="0" borderId="0" xfId="11" applyNumberFormat="1" applyFont="1" applyFill="1" applyAlignment="1">
      <alignment horizontal="center" vertical="center"/>
    </xf>
    <xf numFmtId="0" fontId="39" fillId="0" borderId="0" xfId="11" applyNumberFormat="1" applyFont="1" applyFill="1" applyBorder="1" applyAlignment="1">
      <alignment horizontal="right" vertical="center"/>
    </xf>
    <xf numFmtId="0" fontId="41" fillId="0" borderId="0" xfId="0" applyFont="1" applyFill="1"/>
    <xf numFmtId="0" fontId="41" fillId="0" borderId="0" xfId="0" applyFont="1" applyFill="1"/>
    <xf numFmtId="3" fontId="43" fillId="0" borderId="9" xfId="0" applyNumberFormat="1" applyFont="1" applyFill="1" applyBorder="1" applyAlignment="1">
      <alignment horizontal="center" vertical="center"/>
    </xf>
    <xf numFmtId="3" fontId="43" fillId="0" borderId="10" xfId="0" applyNumberFormat="1" applyFont="1" applyFill="1" applyBorder="1" applyAlignment="1">
      <alignment horizontal="center" vertical="center"/>
    </xf>
    <xf numFmtId="3" fontId="43" fillId="0" borderId="11" xfId="0" applyNumberFormat="1" applyFont="1" applyFill="1" applyBorder="1" applyAlignment="1">
      <alignment horizontal="center" vertical="center"/>
    </xf>
    <xf numFmtId="3" fontId="44" fillId="0" borderId="12" xfId="0" applyNumberFormat="1" applyFont="1" applyFill="1" applyBorder="1" applyAlignment="1">
      <alignment horizontal="center" vertical="center"/>
    </xf>
    <xf numFmtId="3" fontId="44" fillId="0" borderId="5" xfId="0" applyNumberFormat="1" applyFont="1" applyFill="1" applyBorder="1" applyAlignment="1">
      <alignment horizontal="left" vertical="center"/>
    </xf>
    <xf numFmtId="3" fontId="44" fillId="0" borderId="5" xfId="0" applyNumberFormat="1" applyFont="1" applyFill="1" applyBorder="1" applyAlignment="1">
      <alignment horizontal="center" vertical="center"/>
    </xf>
    <xf numFmtId="3" fontId="44" fillId="0" borderId="5" xfId="0" applyNumberFormat="1" applyFont="1" applyFill="1" applyBorder="1" applyAlignment="1">
      <alignment vertical="center"/>
    </xf>
    <xf numFmtId="14" fontId="44" fillId="0" borderId="13" xfId="0" applyNumberFormat="1" applyFont="1" applyFill="1" applyBorder="1" applyAlignment="1">
      <alignment horizontal="left" vertical="center"/>
    </xf>
    <xf numFmtId="3" fontId="41" fillId="0" borderId="0" xfId="0" applyNumberFormat="1" applyFont="1" applyFill="1"/>
    <xf numFmtId="3" fontId="44" fillId="0" borderId="18" xfId="0" applyNumberFormat="1" applyFont="1" applyFill="1" applyBorder="1" applyAlignment="1">
      <alignment horizontal="center" vertical="center"/>
    </xf>
    <xf numFmtId="3" fontId="44" fillId="0" borderId="3" xfId="0" applyNumberFormat="1" applyFont="1" applyFill="1" applyBorder="1" applyAlignment="1">
      <alignment horizontal="left" vertical="center"/>
    </xf>
    <xf numFmtId="3" fontId="44" fillId="0" borderId="3" xfId="0" applyNumberFormat="1" applyFont="1" applyFill="1" applyBorder="1" applyAlignment="1">
      <alignment horizontal="center" vertical="center"/>
    </xf>
    <xf numFmtId="3" fontId="44" fillId="0" borderId="3" xfId="0" applyNumberFormat="1" applyFont="1" applyFill="1" applyBorder="1" applyAlignment="1">
      <alignment vertical="center"/>
    </xf>
    <xf numFmtId="3" fontId="44" fillId="0" borderId="14" xfId="0" applyNumberFormat="1" applyFont="1" applyFill="1" applyBorder="1" applyAlignment="1">
      <alignment horizontal="center" vertical="center"/>
    </xf>
    <xf numFmtId="3" fontId="44" fillId="0" borderId="7" xfId="0" applyNumberFormat="1" applyFont="1" applyFill="1" applyBorder="1" applyAlignment="1">
      <alignment horizontal="left" vertical="center"/>
    </xf>
    <xf numFmtId="3" fontId="44" fillId="0" borderId="7" xfId="0" applyNumberFormat="1" applyFont="1" applyFill="1" applyBorder="1" applyAlignment="1">
      <alignment horizontal="center" vertical="center"/>
    </xf>
    <xf numFmtId="3" fontId="44" fillId="0" borderId="7" xfId="0" applyNumberFormat="1" applyFont="1" applyFill="1" applyBorder="1" applyAlignment="1">
      <alignment vertical="center"/>
    </xf>
    <xf numFmtId="14" fontId="44" fillId="0" borderId="15" xfId="0" applyNumberFormat="1" applyFont="1" applyFill="1" applyBorder="1" applyAlignment="1">
      <alignment horizontal="left" vertical="center"/>
    </xf>
    <xf numFmtId="3" fontId="43" fillId="0" borderId="2" xfId="0" applyNumberFormat="1" applyFont="1" applyFill="1" applyBorder="1" applyAlignment="1">
      <alignment horizontal="center" vertical="center"/>
    </xf>
    <xf numFmtId="3" fontId="43" fillId="0" borderId="1" xfId="0" applyNumberFormat="1" applyFont="1" applyFill="1" applyBorder="1" applyAlignment="1">
      <alignment horizontal="center" vertical="center"/>
    </xf>
    <xf numFmtId="3" fontId="44" fillId="0" borderId="30" xfId="0" applyNumberFormat="1" applyFont="1" applyFill="1" applyBorder="1" applyAlignment="1">
      <alignment horizontal="center" vertical="center"/>
    </xf>
    <xf numFmtId="3" fontId="44" fillId="0" borderId="21" xfId="0" applyNumberFormat="1" applyFont="1" applyFill="1" applyBorder="1" applyAlignment="1">
      <alignment horizontal="left" vertical="center"/>
    </xf>
    <xf numFmtId="3" fontId="44" fillId="0" borderId="21" xfId="0" applyNumberFormat="1" applyFont="1" applyFill="1" applyBorder="1" applyAlignment="1">
      <alignment horizontal="center" vertical="center"/>
    </xf>
    <xf numFmtId="3" fontId="44" fillId="0" borderId="22" xfId="0" applyNumberFormat="1" applyFont="1" applyFill="1" applyBorder="1" applyAlignment="1">
      <alignment vertical="center"/>
    </xf>
    <xf numFmtId="3" fontId="44" fillId="0" borderId="21" xfId="0" applyNumberFormat="1" applyFont="1" applyFill="1" applyBorder="1" applyAlignment="1">
      <alignment vertical="center"/>
    </xf>
    <xf numFmtId="3" fontId="44" fillId="0" borderId="23" xfId="0" applyNumberFormat="1" applyFont="1" applyFill="1" applyBorder="1" applyAlignment="1">
      <alignment horizontal="left" vertical="center"/>
    </xf>
    <xf numFmtId="3" fontId="44" fillId="0" borderId="6" xfId="0" applyNumberFormat="1" applyFont="1" applyFill="1" applyBorder="1" applyAlignment="1">
      <alignment vertical="center"/>
    </xf>
    <xf numFmtId="3" fontId="44" fillId="0" borderId="13" xfId="0" applyNumberFormat="1" applyFont="1" applyFill="1" applyBorder="1" applyAlignment="1">
      <alignment horizontal="left" vertical="center"/>
    </xf>
    <xf numFmtId="3" fontId="44" fillId="0" borderId="26" xfId="0" applyNumberFormat="1" applyFont="1" applyFill="1" applyBorder="1" applyAlignment="1">
      <alignment horizontal="center" vertical="center"/>
    </xf>
    <xf numFmtId="3" fontId="44" fillId="0" borderId="8" xfId="0" applyNumberFormat="1" applyFont="1" applyFill="1" applyBorder="1" applyAlignment="1">
      <alignment vertical="center"/>
    </xf>
    <xf numFmtId="3" fontId="44" fillId="0" borderId="15" xfId="0" applyNumberFormat="1" applyFont="1" applyFill="1" applyBorder="1" applyAlignment="1">
      <alignment horizontal="left" vertical="center"/>
    </xf>
    <xf numFmtId="3" fontId="43" fillId="0" borderId="16" xfId="0" applyNumberFormat="1" applyFont="1" applyFill="1" applyBorder="1" applyAlignment="1">
      <alignment horizontal="center" vertical="center"/>
    </xf>
    <xf numFmtId="0" fontId="41" fillId="0" borderId="0" xfId="0" applyFont="1"/>
    <xf numFmtId="3" fontId="43" fillId="0" borderId="24" xfId="0" applyNumberFormat="1" applyFont="1" applyBorder="1" applyAlignment="1">
      <alignment horizontal="left" vertical="center"/>
    </xf>
    <xf numFmtId="3" fontId="43" fillId="0" borderId="25" xfId="0" applyNumberFormat="1" applyFont="1" applyBorder="1" applyAlignment="1">
      <alignment horizontal="left" vertical="center"/>
    </xf>
    <xf numFmtId="3" fontId="44" fillId="0" borderId="63" xfId="0" applyNumberFormat="1" applyFont="1" applyBorder="1" applyAlignment="1">
      <alignment vertical="center"/>
    </xf>
    <xf numFmtId="3" fontId="44" fillId="0" borderId="64" xfId="0" applyNumberFormat="1" applyFont="1" applyBorder="1" applyAlignment="1">
      <alignment horizontal="right" vertical="center"/>
    </xf>
    <xf numFmtId="3" fontId="44" fillId="0" borderId="25" xfId="0" applyNumberFormat="1" applyFont="1" applyBorder="1" applyAlignment="1">
      <alignment horizontal="right" vertical="center"/>
    </xf>
    <xf numFmtId="3" fontId="44" fillId="0" borderId="65" xfId="0" applyNumberFormat="1" applyFont="1" applyBorder="1" applyAlignment="1">
      <alignment vertical="center"/>
    </xf>
    <xf numFmtId="3" fontId="44" fillId="0" borderId="18" xfId="0" applyNumberFormat="1" applyFont="1" applyBorder="1" applyAlignment="1">
      <alignment horizontal="left" vertical="center"/>
    </xf>
    <xf numFmtId="3" fontId="44" fillId="0" borderId="3" xfId="0" applyNumberFormat="1" applyFont="1" applyBorder="1" applyAlignment="1">
      <alignment horizontal="left" vertical="center"/>
    </xf>
    <xf numFmtId="3" fontId="44" fillId="0" borderId="19" xfId="0" applyNumberFormat="1" applyFont="1" applyBorder="1" applyAlignment="1">
      <alignment vertical="center"/>
    </xf>
    <xf numFmtId="3" fontId="44" fillId="0" borderId="4" xfId="0" applyNumberFormat="1" applyFont="1" applyBorder="1" applyAlignment="1">
      <alignment vertical="center"/>
    </xf>
    <xf numFmtId="3" fontId="44" fillId="0" borderId="3" xfId="0" applyNumberFormat="1" applyFont="1" applyBorder="1" applyAlignment="1">
      <alignment vertical="center"/>
    </xf>
    <xf numFmtId="178" fontId="44" fillId="0" borderId="3" xfId="0" applyNumberFormat="1" applyFont="1" applyBorder="1" applyAlignment="1">
      <alignment vertical="center"/>
    </xf>
    <xf numFmtId="3" fontId="44" fillId="0" borderId="20" xfId="0" applyNumberFormat="1" applyFont="1" applyBorder="1" applyAlignment="1">
      <alignment horizontal="left" vertical="center"/>
    </xf>
    <xf numFmtId="3" fontId="44" fillId="0" borderId="19" xfId="0" applyNumberFormat="1" applyFont="1" applyBorder="1" applyAlignment="1">
      <alignment vertical="center" shrinkToFit="1"/>
    </xf>
    <xf numFmtId="3" fontId="44" fillId="0" borderId="26" xfId="0" applyNumberFormat="1" applyFont="1" applyFill="1" applyBorder="1" applyAlignment="1">
      <alignment horizontal="left" vertical="center"/>
    </xf>
    <xf numFmtId="3" fontId="44" fillId="0" borderId="27" xfId="0" applyNumberFormat="1" applyFont="1" applyFill="1" applyBorder="1" applyAlignment="1">
      <alignment horizontal="left" vertical="center"/>
    </xf>
    <xf numFmtId="3" fontId="44" fillId="0" borderId="66" xfId="0" applyNumberFormat="1" applyFont="1" applyFill="1" applyBorder="1" applyAlignment="1">
      <alignment vertical="center"/>
    </xf>
    <xf numFmtId="3" fontId="44" fillId="0" borderId="29" xfId="0" applyNumberFormat="1" applyFont="1" applyFill="1" applyBorder="1" applyAlignment="1">
      <alignment vertical="center"/>
    </xf>
    <xf numFmtId="3" fontId="44" fillId="0" borderId="27" xfId="0" applyNumberFormat="1" applyFont="1" applyFill="1" applyBorder="1" applyAlignment="1">
      <alignment vertical="center"/>
    </xf>
    <xf numFmtId="3" fontId="44" fillId="0" borderId="28" xfId="0" applyNumberFormat="1" applyFont="1" applyFill="1" applyBorder="1" applyAlignment="1">
      <alignment horizontal="left" vertical="center"/>
    </xf>
    <xf numFmtId="3" fontId="44" fillId="0" borderId="24" xfId="0" applyNumberFormat="1" applyFont="1" applyFill="1" applyBorder="1" applyAlignment="1">
      <alignment horizontal="center" vertical="center"/>
    </xf>
    <xf numFmtId="3" fontId="44" fillId="0" borderId="25" xfId="0" applyNumberFormat="1" applyFont="1" applyFill="1" applyBorder="1" applyAlignment="1">
      <alignment horizontal="left" vertical="center"/>
    </xf>
    <xf numFmtId="3" fontId="44" fillId="0" borderId="25" xfId="0" applyNumberFormat="1" applyFont="1" applyFill="1" applyBorder="1" applyAlignment="1">
      <alignment horizontal="center" vertical="center"/>
    </xf>
    <xf numFmtId="3" fontId="44" fillId="0" borderId="25" xfId="0" applyNumberFormat="1" applyFont="1" applyFill="1" applyBorder="1" applyAlignment="1">
      <alignment horizontal="right" vertical="center"/>
    </xf>
    <xf numFmtId="3" fontId="44" fillId="0" borderId="17" xfId="0" applyNumberFormat="1" applyFont="1" applyFill="1" applyBorder="1" applyAlignment="1">
      <alignment horizontal="right" vertical="center"/>
    </xf>
    <xf numFmtId="3" fontId="44" fillId="0" borderId="5" xfId="0" applyNumberFormat="1" applyFont="1" applyFill="1" applyBorder="1" applyAlignment="1">
      <alignment horizontal="right" vertical="center"/>
    </xf>
    <xf numFmtId="3" fontId="44" fillId="0" borderId="13" xfId="0" applyNumberFormat="1" applyFont="1" applyFill="1" applyBorder="1" applyAlignment="1">
      <alignment horizontal="right" vertical="center"/>
    </xf>
    <xf numFmtId="3" fontId="44" fillId="0" borderId="3" xfId="0" applyNumberFormat="1" applyFont="1" applyFill="1" applyBorder="1" applyAlignment="1">
      <alignment horizontal="right" vertical="center"/>
    </xf>
    <xf numFmtId="3" fontId="44" fillId="0" borderId="20" xfId="0" applyNumberFormat="1" applyFont="1" applyFill="1" applyBorder="1" applyAlignment="1">
      <alignment horizontal="right" vertical="center"/>
    </xf>
    <xf numFmtId="3" fontId="44" fillId="0" borderId="27" xfId="0" applyNumberFormat="1" applyFont="1" applyFill="1" applyBorder="1" applyAlignment="1">
      <alignment horizontal="center" vertical="center"/>
    </xf>
    <xf numFmtId="3" fontId="44" fillId="0" borderId="27" xfId="0" applyNumberFormat="1" applyFont="1" applyFill="1" applyBorder="1" applyAlignment="1">
      <alignment horizontal="right" vertical="center"/>
    </xf>
    <xf numFmtId="3" fontId="44" fillId="0" borderId="28" xfId="0" applyNumberFormat="1" applyFont="1" applyFill="1" applyBorder="1" applyAlignment="1">
      <alignment horizontal="right" vertical="center"/>
    </xf>
    <xf numFmtId="0" fontId="45" fillId="0" borderId="0" xfId="0" applyFont="1" applyFill="1"/>
    <xf numFmtId="180" fontId="43" fillId="0" borderId="18" xfId="0" applyNumberFormat="1" applyFont="1" applyFill="1" applyBorder="1" applyAlignment="1">
      <alignment horizontal="center" vertical="center"/>
    </xf>
    <xf numFmtId="3" fontId="43" fillId="0" borderId="3" xfId="0" applyNumberFormat="1" applyFont="1" applyFill="1" applyBorder="1" applyAlignment="1">
      <alignment horizontal="left" vertical="center"/>
    </xf>
    <xf numFmtId="0" fontId="40" fillId="4" borderId="4" xfId="0" applyNumberFormat="1" applyFont="1" applyFill="1" applyBorder="1" applyAlignment="1" applyProtection="1">
      <alignment vertical="center" shrinkToFit="1"/>
    </xf>
    <xf numFmtId="3" fontId="43" fillId="0" borderId="3" xfId="0" applyNumberFormat="1" applyFont="1" applyFill="1" applyBorder="1" applyAlignment="1">
      <alignment vertical="center"/>
    </xf>
    <xf numFmtId="3" fontId="43" fillId="0" borderId="3" xfId="0" applyNumberFormat="1" applyFont="1" applyFill="1" applyBorder="1" applyAlignment="1">
      <alignment horizontal="center" vertical="center"/>
    </xf>
    <xf numFmtId="3" fontId="43" fillId="0" borderId="4" xfId="0" applyNumberFormat="1" applyFont="1" applyFill="1" applyBorder="1" applyAlignment="1">
      <alignment vertical="center"/>
    </xf>
    <xf numFmtId="3" fontId="43" fillId="0" borderId="3" xfId="0" applyNumberFormat="1" applyFont="1" applyFill="1" applyBorder="1" applyAlignment="1">
      <alignment horizontal="right" vertical="center"/>
    </xf>
    <xf numFmtId="3" fontId="43" fillId="0" borderId="20" xfId="0" applyNumberFormat="1" applyFont="1" applyFill="1" applyBorder="1" applyAlignment="1">
      <alignment horizontal="left" vertical="center"/>
    </xf>
    <xf numFmtId="180" fontId="44" fillId="0" borderId="18" xfId="0" applyNumberFormat="1" applyFont="1" applyFill="1" applyBorder="1" applyAlignment="1">
      <alignment horizontal="center" vertical="center"/>
    </xf>
    <xf numFmtId="177" fontId="44" fillId="0" borderId="3" xfId="0" applyNumberFormat="1" applyFont="1" applyFill="1" applyBorder="1" applyAlignment="1">
      <alignment vertical="center"/>
    </xf>
    <xf numFmtId="3" fontId="44" fillId="0" borderId="4" xfId="0" applyNumberFormat="1" applyFont="1" applyFill="1" applyBorder="1" applyAlignment="1">
      <alignment vertical="center"/>
    </xf>
    <xf numFmtId="179" fontId="44" fillId="0" borderId="3" xfId="0" applyNumberFormat="1" applyFont="1" applyFill="1" applyBorder="1" applyAlignment="1">
      <alignment horizontal="right" vertical="center"/>
    </xf>
    <xf numFmtId="3" fontId="44" fillId="0" borderId="4" xfId="0" applyNumberFormat="1" applyFont="1" applyFill="1" applyBorder="1" applyAlignment="1">
      <alignment horizontal="right" vertical="center"/>
    </xf>
    <xf numFmtId="3" fontId="44" fillId="0" borderId="20" xfId="0" applyNumberFormat="1" applyFont="1" applyFill="1" applyBorder="1" applyAlignment="1">
      <alignment horizontal="left" vertical="center"/>
    </xf>
    <xf numFmtId="180" fontId="41" fillId="0" borderId="0" xfId="0" applyNumberFormat="1" applyFont="1" applyFill="1"/>
    <xf numFmtId="0" fontId="43" fillId="0" borderId="9" xfId="0" applyNumberFormat="1" applyFont="1" applyFill="1" applyBorder="1" applyAlignment="1">
      <alignment horizontal="center" vertical="center"/>
    </xf>
    <xf numFmtId="0" fontId="44" fillId="0" borderId="18" xfId="0" applyNumberFormat="1" applyFont="1" applyFill="1" applyBorder="1" applyAlignment="1">
      <alignment horizontal="center" vertical="center"/>
    </xf>
    <xf numFmtId="0" fontId="44" fillId="0" borderId="26" xfId="0" applyNumberFormat="1" applyFont="1" applyFill="1" applyBorder="1" applyAlignment="1">
      <alignment horizontal="center" vertical="center"/>
    </xf>
    <xf numFmtId="3" fontId="44" fillId="0" borderId="7" xfId="0" applyNumberFormat="1" applyFont="1" applyFill="1" applyBorder="1" applyAlignment="1">
      <alignment horizontal="right" vertical="center"/>
    </xf>
    <xf numFmtId="0" fontId="41" fillId="0" borderId="0" xfId="0" applyNumberFormat="1" applyFont="1" applyFill="1"/>
    <xf numFmtId="41" fontId="41" fillId="0" borderId="0" xfId="0" applyNumberFormat="1" applyFont="1" applyFill="1"/>
    <xf numFmtId="41" fontId="41" fillId="0" borderId="0" xfId="0" applyNumberFormat="1" applyFont="1" applyFill="1"/>
    <xf numFmtId="41" fontId="43" fillId="0" borderId="2" xfId="0" applyNumberFormat="1" applyFont="1" applyFill="1" applyBorder="1" applyAlignment="1">
      <alignment horizontal="center" vertical="center"/>
    </xf>
    <xf numFmtId="41" fontId="43" fillId="0" borderId="1" xfId="0" applyNumberFormat="1" applyFont="1" applyFill="1" applyBorder="1" applyAlignment="1">
      <alignment horizontal="center" vertical="center"/>
    </xf>
    <xf numFmtId="41" fontId="45" fillId="0" borderId="0" xfId="0" applyNumberFormat="1" applyFont="1" applyFill="1"/>
    <xf numFmtId="41" fontId="43" fillId="3" borderId="30" xfId="0" applyNumberFormat="1" applyFont="1" applyFill="1" applyBorder="1" applyAlignment="1">
      <alignment horizontal="left" vertical="center"/>
    </xf>
    <xf numFmtId="41" fontId="43" fillId="3" borderId="21" xfId="0" applyNumberFormat="1" applyFont="1" applyFill="1" applyBorder="1" applyAlignment="1">
      <alignment horizontal="left" vertical="center"/>
    </xf>
    <xf numFmtId="41" fontId="43" fillId="3" borderId="21" xfId="0" applyNumberFormat="1" applyFont="1" applyFill="1" applyBorder="1" applyAlignment="1">
      <alignment vertical="center"/>
    </xf>
    <xf numFmtId="41" fontId="43" fillId="3" borderId="21" xfId="0" applyNumberFormat="1" applyFont="1" applyFill="1" applyBorder="1" applyAlignment="1">
      <alignment horizontal="center" vertical="center"/>
    </xf>
    <xf numFmtId="41" fontId="43" fillId="3" borderId="22" xfId="0" applyNumberFormat="1" applyFont="1" applyFill="1" applyBorder="1" applyAlignment="1">
      <alignment vertical="center"/>
    </xf>
    <xf numFmtId="41" fontId="43" fillId="3" borderId="23" xfId="0" applyNumberFormat="1" applyFont="1" applyFill="1" applyBorder="1" applyAlignment="1">
      <alignment horizontal="center" vertical="center"/>
    </xf>
    <xf numFmtId="41" fontId="44" fillId="0" borderId="0" xfId="0" applyNumberFormat="1" applyFont="1" applyFill="1"/>
    <xf numFmtId="41" fontId="44" fillId="0" borderId="18" xfId="0" applyNumberFormat="1" applyFont="1" applyFill="1" applyBorder="1" applyAlignment="1">
      <alignment horizontal="left" vertical="center"/>
    </xf>
    <xf numFmtId="41" fontId="44" fillId="0" borderId="3" xfId="0" applyNumberFormat="1" applyFont="1" applyFill="1" applyBorder="1" applyAlignment="1">
      <alignment horizontal="left" vertical="center"/>
    </xf>
    <xf numFmtId="41" fontId="44" fillId="0" borderId="3" xfId="0" applyNumberFormat="1" applyFont="1" applyFill="1" applyBorder="1" applyAlignment="1">
      <alignment vertical="center"/>
    </xf>
    <xf numFmtId="41" fontId="44" fillId="0" borderId="3" xfId="0" applyNumberFormat="1" applyFont="1" applyFill="1" applyBorder="1" applyAlignment="1">
      <alignment horizontal="center" vertical="center"/>
    </xf>
    <xf numFmtId="41" fontId="44" fillId="0" borderId="4" xfId="0" applyNumberFormat="1" applyFont="1" applyFill="1" applyBorder="1" applyAlignment="1">
      <alignment vertical="center"/>
    </xf>
    <xf numFmtId="41" fontId="44" fillId="0" borderId="20" xfId="0" applyNumberFormat="1" applyFont="1" applyFill="1" applyBorder="1" applyAlignment="1">
      <alignment horizontal="center" vertical="center"/>
    </xf>
    <xf numFmtId="192" fontId="44" fillId="0" borderId="4" xfId="0" applyNumberFormat="1" applyFont="1" applyFill="1" applyBorder="1" applyAlignment="1">
      <alignment vertical="center"/>
    </xf>
    <xf numFmtId="41" fontId="44" fillId="0" borderId="31" xfId="0" applyNumberFormat="1" applyFont="1" applyFill="1" applyBorder="1" applyAlignment="1">
      <alignment horizontal="left" vertical="center"/>
    </xf>
    <xf numFmtId="41" fontId="44" fillId="0" borderId="32" xfId="0" applyNumberFormat="1" applyFont="1" applyFill="1" applyBorder="1" applyAlignment="1">
      <alignment horizontal="left" vertical="center"/>
    </xf>
    <xf numFmtId="41" fontId="44" fillId="0" borderId="32" xfId="0" applyNumberFormat="1" applyFont="1" applyFill="1" applyBorder="1" applyAlignment="1">
      <alignment vertical="center"/>
    </xf>
    <xf numFmtId="41" fontId="44" fillId="0" borderId="32" xfId="0" applyNumberFormat="1" applyFont="1" applyFill="1" applyBorder="1" applyAlignment="1">
      <alignment horizontal="center" vertical="center"/>
    </xf>
    <xf numFmtId="182" fontId="44" fillId="0" borderId="32" xfId="0" applyNumberFormat="1" applyFont="1" applyFill="1" applyBorder="1" applyAlignment="1">
      <alignment vertical="center"/>
    </xf>
    <xf numFmtId="41" fontId="44" fillId="0" borderId="33" xfId="0" applyNumberFormat="1" applyFont="1" applyFill="1" applyBorder="1" applyAlignment="1">
      <alignment vertical="center"/>
    </xf>
    <xf numFmtId="41" fontId="44" fillId="0" borderId="26" xfId="0" applyNumberFormat="1" applyFont="1" applyFill="1" applyBorder="1" applyAlignment="1">
      <alignment horizontal="left" vertical="center"/>
    </xf>
    <xf numFmtId="41" fontId="44" fillId="0" borderId="27" xfId="0" applyNumberFormat="1" applyFont="1" applyFill="1" applyBorder="1" applyAlignment="1">
      <alignment horizontal="left" vertical="center"/>
    </xf>
    <xf numFmtId="41" fontId="44" fillId="0" borderId="27" xfId="0" applyNumberFormat="1" applyFont="1" applyFill="1" applyBorder="1" applyAlignment="1">
      <alignment vertical="center"/>
    </xf>
    <xf numFmtId="41" fontId="44" fillId="0" borderId="27" xfId="0" applyNumberFormat="1" applyFont="1" applyFill="1" applyBorder="1" applyAlignment="1">
      <alignment horizontal="center" vertical="center"/>
    </xf>
    <xf numFmtId="41" fontId="44" fillId="0" borderId="29" xfId="0" applyNumberFormat="1" applyFont="1" applyFill="1" applyBorder="1" applyAlignment="1">
      <alignment vertical="center"/>
    </xf>
    <xf numFmtId="41" fontId="44" fillId="0" borderId="43" xfId="0" applyNumberFormat="1" applyFont="1" applyFill="1" applyBorder="1" applyAlignment="1">
      <alignment horizontal="center" vertical="center"/>
    </xf>
    <xf numFmtId="41" fontId="41" fillId="0" borderId="0" xfId="0" applyNumberFormat="1" applyFont="1" applyFill="1" applyAlignment="1">
      <alignment horizontal="center"/>
    </xf>
    <xf numFmtId="2" fontId="48" fillId="0" borderId="0" xfId="10" applyFont="1" applyBorder="1"/>
    <xf numFmtId="0" fontId="25" fillId="2" borderId="0" xfId="8" applyFont="1" applyFill="1" applyBorder="1" applyAlignment="1"/>
    <xf numFmtId="176" fontId="25" fillId="0" borderId="25" xfId="1" applyFont="1" applyFill="1" applyBorder="1" applyAlignment="1" applyProtection="1">
      <alignment horizontal="center" vertical="center"/>
    </xf>
    <xf numFmtId="0" fontId="25" fillId="2" borderId="0" xfId="8" applyFont="1" applyFill="1" applyBorder="1" applyAlignment="1" applyProtection="1"/>
    <xf numFmtId="176" fontId="25" fillId="0" borderId="4" xfId="1" applyFont="1" applyFill="1" applyBorder="1" applyAlignment="1" applyProtection="1">
      <alignment horizontal="center" vertical="center"/>
    </xf>
    <xf numFmtId="0" fontId="25" fillId="0" borderId="18" xfId="8" applyFont="1" applyFill="1" applyBorder="1" applyAlignment="1" applyProtection="1">
      <alignment horizontal="left" vertical="center"/>
    </xf>
    <xf numFmtId="0" fontId="25" fillId="0" borderId="4" xfId="8" applyFont="1" applyFill="1" applyBorder="1" applyAlignment="1" applyProtection="1">
      <alignment horizontal="center" vertical="center"/>
    </xf>
    <xf numFmtId="0" fontId="49" fillId="0" borderId="44" xfId="0" applyFont="1" applyBorder="1" applyAlignment="1">
      <alignment vertical="center"/>
    </xf>
    <xf numFmtId="0" fontId="40" fillId="0" borderId="18" xfId="8" applyFont="1" applyFill="1" applyBorder="1" applyAlignment="1" applyProtection="1">
      <alignment horizontal="center" vertical="center"/>
    </xf>
    <xf numFmtId="0" fontId="40" fillId="0" borderId="4" xfId="8" applyFont="1" applyFill="1" applyBorder="1" applyAlignment="1" applyProtection="1">
      <alignment horizontal="center" vertical="center"/>
    </xf>
    <xf numFmtId="184" fontId="25" fillId="2" borderId="4" xfId="1" applyNumberFormat="1" applyFont="1" applyFill="1" applyBorder="1" applyAlignment="1" applyProtection="1">
      <alignment horizontal="center" vertical="center"/>
    </xf>
    <xf numFmtId="184" fontId="40" fillId="0" borderId="4" xfId="1" applyNumberFormat="1" applyFont="1" applyFill="1" applyBorder="1" applyAlignment="1" applyProtection="1">
      <alignment horizontal="center" vertical="center"/>
    </xf>
    <xf numFmtId="184" fontId="25" fillId="0" borderId="4" xfId="1" applyNumberFormat="1" applyFont="1" applyFill="1" applyBorder="1" applyAlignment="1" applyProtection="1">
      <alignment horizontal="center" vertical="center"/>
    </xf>
    <xf numFmtId="176" fontId="25" fillId="2" borderId="0" xfId="1" applyFont="1" applyFill="1" applyBorder="1" applyAlignment="1"/>
    <xf numFmtId="0" fontId="25" fillId="2" borderId="0" xfId="8" applyFont="1" applyFill="1" applyBorder="1" applyAlignment="1">
      <alignment shrinkToFit="1"/>
    </xf>
    <xf numFmtId="193" fontId="19" fillId="0" borderId="18" xfId="0" applyNumberFormat="1" applyFont="1" applyBorder="1" applyAlignment="1">
      <alignment vertical="center"/>
    </xf>
    <xf numFmtId="193" fontId="19" fillId="0" borderId="4" xfId="0" applyNumberFormat="1" applyFont="1" applyBorder="1" applyAlignment="1">
      <alignment vertical="center"/>
    </xf>
    <xf numFmtId="0" fontId="15" fillId="0" borderId="4" xfId="8" applyFont="1" applyBorder="1" applyAlignment="1">
      <alignment horizontal="center" vertical="center"/>
    </xf>
    <xf numFmtId="184" fontId="15" fillId="2" borderId="4" xfId="1" applyNumberFormat="1" applyFont="1" applyFill="1" applyBorder="1" applyAlignment="1">
      <alignment horizontal="center" vertical="center"/>
    </xf>
    <xf numFmtId="176" fontId="15" fillId="0" borderId="4" xfId="1" applyFont="1" applyBorder="1" applyAlignment="1">
      <alignment horizontal="center" vertical="center"/>
    </xf>
    <xf numFmtId="184" fontId="15" fillId="0" borderId="4" xfId="1" applyNumberFormat="1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193" fontId="19" fillId="6" borderId="18" xfId="0" applyNumberFormat="1" applyFont="1" applyFill="1" applyBorder="1" applyAlignment="1">
      <alignment vertical="center"/>
    </xf>
    <xf numFmtId="194" fontId="15" fillId="0" borderId="4" xfId="8" applyNumberFormat="1" applyFont="1" applyBorder="1" applyAlignment="1">
      <alignment horizontal="center" vertical="center"/>
    </xf>
    <xf numFmtId="0" fontId="14" fillId="0" borderId="4" xfId="8" applyFont="1" applyBorder="1" applyAlignment="1">
      <alignment horizontal="center" vertical="center"/>
    </xf>
    <xf numFmtId="193" fontId="19" fillId="0" borderId="31" xfId="0" applyNumberFormat="1" applyFont="1" applyBorder="1" applyAlignment="1">
      <alignment vertical="center"/>
    </xf>
    <xf numFmtId="0" fontId="15" fillId="0" borderId="33" xfId="8" applyFont="1" applyBorder="1" applyAlignment="1">
      <alignment horizontal="center" vertical="center"/>
    </xf>
    <xf numFmtId="184" fontId="15" fillId="2" borderId="33" xfId="1" applyNumberFormat="1" applyFont="1" applyFill="1" applyBorder="1" applyAlignment="1">
      <alignment horizontal="center" vertical="center"/>
    </xf>
    <xf numFmtId="176" fontId="15" fillId="0" borderId="33" xfId="1" applyFont="1" applyBorder="1" applyAlignment="1">
      <alignment horizontal="center" vertical="center"/>
    </xf>
    <xf numFmtId="0" fontId="10" fillId="0" borderId="36" xfId="0" applyFont="1" applyBorder="1" applyAlignment="1">
      <alignment vertical="center"/>
    </xf>
    <xf numFmtId="193" fontId="20" fillId="0" borderId="31" xfId="0" applyNumberFormat="1" applyFont="1" applyBorder="1" applyAlignment="1">
      <alignment horizontal="center" vertical="center"/>
    </xf>
    <xf numFmtId="0" fontId="14" fillId="0" borderId="33" xfId="8" applyFont="1" applyBorder="1" applyAlignment="1">
      <alignment horizontal="center" vertical="center"/>
    </xf>
    <xf numFmtId="0" fontId="15" fillId="0" borderId="26" xfId="8" applyFont="1" applyBorder="1" applyAlignment="1">
      <alignment horizontal="center" vertical="center"/>
    </xf>
    <xf numFmtId="0" fontId="15" fillId="0" borderId="29" xfId="8" applyFont="1" applyBorder="1" applyAlignment="1">
      <alignment horizontal="center" vertical="center"/>
    </xf>
    <xf numFmtId="176" fontId="15" fillId="0" borderId="29" xfId="1" applyFont="1" applyBorder="1" applyAlignment="1">
      <alignment horizontal="center" vertical="center"/>
    </xf>
    <xf numFmtId="0" fontId="10" fillId="0" borderId="43" xfId="0" applyFont="1" applyBorder="1" applyAlignment="1">
      <alignment vertical="center"/>
    </xf>
    <xf numFmtId="2" fontId="46" fillId="0" borderId="0" xfId="10" applyFont="1" applyBorder="1" applyAlignment="1">
      <alignment horizontal="centerContinuous" vertical="center"/>
    </xf>
    <xf numFmtId="2" fontId="47" fillId="0" borderId="0" xfId="10" applyFont="1" applyBorder="1" applyAlignment="1">
      <alignment horizontal="centerContinuous"/>
    </xf>
    <xf numFmtId="176" fontId="47" fillId="0" borderId="0" xfId="1" applyFont="1" applyBorder="1" applyAlignment="1">
      <alignment horizontal="centerContinuous"/>
    </xf>
    <xf numFmtId="176" fontId="48" fillId="0" borderId="0" xfId="1" applyFont="1" applyBorder="1" applyAlignment="1">
      <alignment horizontal="centerContinuous"/>
    </xf>
    <xf numFmtId="2" fontId="48" fillId="0" borderId="0" xfId="10" applyFont="1" applyBorder="1" applyAlignment="1">
      <alignment horizontal="centerContinuous"/>
    </xf>
    <xf numFmtId="184" fontId="40" fillId="2" borderId="4" xfId="1" applyNumberFormat="1" applyFont="1" applyFill="1" applyBorder="1" applyAlignment="1" applyProtection="1">
      <alignment horizontal="center" vertical="center"/>
    </xf>
    <xf numFmtId="2" fontId="47" fillId="0" borderId="0" xfId="10" applyFont="1" applyBorder="1" applyAlignment="1">
      <alignment horizontal="left"/>
    </xf>
    <xf numFmtId="2" fontId="40" fillId="0" borderId="0" xfId="10" applyFont="1" applyBorder="1" applyAlignment="1">
      <alignment horizontal="left" vertical="center"/>
    </xf>
    <xf numFmtId="180" fontId="43" fillId="6" borderId="18" xfId="0" applyNumberFormat="1" applyFont="1" applyFill="1" applyBorder="1" applyAlignment="1">
      <alignment horizontal="center" vertical="center"/>
    </xf>
    <xf numFmtId="177" fontId="44" fillId="6" borderId="3" xfId="0" applyNumberFormat="1" applyFont="1" applyFill="1" applyBorder="1" applyAlignment="1">
      <alignment vertical="center"/>
    </xf>
    <xf numFmtId="195" fontId="44" fillId="6" borderId="3" xfId="0" applyNumberFormat="1" applyFont="1" applyFill="1" applyBorder="1" applyAlignment="1">
      <alignment vertical="center"/>
    </xf>
    <xf numFmtId="0" fontId="16" fillId="0" borderId="91" xfId="6" applyFont="1" applyBorder="1" applyAlignment="1">
      <alignment horizontal="center" vertical="center"/>
    </xf>
    <xf numFmtId="0" fontId="16" fillId="0" borderId="58" xfId="6" applyFont="1" applyBorder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5" fillId="0" borderId="0" xfId="6" applyFont="1" applyBorder="1" applyAlignment="1">
      <alignment horizontal="right" vertical="center"/>
    </xf>
    <xf numFmtId="0" fontId="16" fillId="5" borderId="89" xfId="6" applyFont="1" applyFill="1" applyBorder="1" applyAlignment="1">
      <alignment horizontal="center" vertical="center"/>
    </xf>
    <xf numFmtId="0" fontId="16" fillId="5" borderId="50" xfId="6" applyFont="1" applyFill="1" applyBorder="1" applyAlignment="1">
      <alignment horizontal="center" vertical="center"/>
    </xf>
    <xf numFmtId="0" fontId="17" fillId="0" borderId="90" xfId="6" applyFont="1" applyBorder="1" applyAlignment="1">
      <alignment horizontal="center" vertical="center"/>
    </xf>
    <xf numFmtId="0" fontId="17" fillId="0" borderId="60" xfId="6" applyFont="1" applyBorder="1" applyAlignment="1">
      <alignment horizontal="center" vertical="center"/>
    </xf>
    <xf numFmtId="0" fontId="17" fillId="0" borderId="48" xfId="6" applyFont="1" applyBorder="1" applyAlignment="1">
      <alignment horizontal="center" vertical="center"/>
    </xf>
    <xf numFmtId="0" fontId="16" fillId="0" borderId="90" xfId="6" applyFont="1" applyBorder="1" applyAlignment="1">
      <alignment horizontal="center" vertical="center"/>
    </xf>
    <xf numFmtId="0" fontId="16" fillId="0" borderId="48" xfId="6" applyFont="1" applyBorder="1" applyAlignment="1">
      <alignment horizontal="center" vertical="center"/>
    </xf>
    <xf numFmtId="176" fontId="25" fillId="0" borderId="92" xfId="1" applyFont="1" applyFill="1" applyBorder="1" applyAlignment="1" applyProtection="1">
      <alignment horizontal="center" vertical="center"/>
    </xf>
    <xf numFmtId="176" fontId="25" fillId="0" borderId="25" xfId="1" applyFont="1" applyFill="1" applyBorder="1" applyAlignment="1" applyProtection="1">
      <alignment horizontal="center" vertical="center"/>
    </xf>
    <xf numFmtId="0" fontId="25" fillId="0" borderId="17" xfId="8" applyFont="1" applyFill="1" applyBorder="1" applyAlignment="1" applyProtection="1">
      <alignment horizontal="center" vertical="center" shrinkToFit="1"/>
    </xf>
    <xf numFmtId="0" fontId="49" fillId="0" borderId="44" xfId="0" applyFont="1" applyBorder="1" applyAlignment="1">
      <alignment vertical="center"/>
    </xf>
    <xf numFmtId="0" fontId="25" fillId="0" borderId="24" xfId="8" applyFont="1" applyFill="1" applyBorder="1" applyAlignment="1" applyProtection="1">
      <alignment horizontal="center" vertical="center"/>
    </xf>
    <xf numFmtId="0" fontId="25" fillId="0" borderId="18" xfId="8" applyFont="1" applyFill="1" applyBorder="1" applyAlignment="1" applyProtection="1">
      <alignment horizontal="center" vertical="center"/>
    </xf>
    <xf numFmtId="0" fontId="25" fillId="0" borderId="64" xfId="8" applyFont="1" applyFill="1" applyBorder="1" applyAlignment="1" applyProtection="1">
      <alignment horizontal="center" vertical="center"/>
    </xf>
    <xf numFmtId="0" fontId="25" fillId="0" borderId="4" xfId="8" applyFont="1" applyFill="1" applyBorder="1" applyAlignment="1" applyProtection="1">
      <alignment horizontal="center" vertical="center"/>
    </xf>
    <xf numFmtId="41" fontId="43" fillId="0" borderId="74" xfId="0" applyNumberFormat="1" applyFont="1" applyFill="1" applyBorder="1" applyAlignment="1">
      <alignment horizontal="center" vertical="center"/>
    </xf>
    <xf numFmtId="41" fontId="43" fillId="0" borderId="93" xfId="0" applyNumberFormat="1" applyFont="1" applyFill="1" applyBorder="1" applyAlignment="1">
      <alignment horizontal="center" vertical="center"/>
    </xf>
    <xf numFmtId="41" fontId="42" fillId="0" borderId="0" xfId="0" applyNumberFormat="1" applyFont="1" applyFill="1" applyAlignment="1">
      <alignment horizontal="center" vertical="center"/>
    </xf>
    <xf numFmtId="41" fontId="41" fillId="0" borderId="0" xfId="0" applyNumberFormat="1" applyFont="1" applyFill="1"/>
    <xf numFmtId="41" fontId="43" fillId="0" borderId="94" xfId="0" applyNumberFormat="1" applyFont="1" applyFill="1" applyBorder="1" applyAlignment="1">
      <alignment horizontal="center" vertical="center"/>
    </xf>
    <xf numFmtId="41" fontId="43" fillId="0" borderId="95" xfId="0" applyNumberFormat="1" applyFont="1" applyFill="1" applyBorder="1" applyAlignment="1">
      <alignment horizontal="center" vertical="center"/>
    </xf>
    <xf numFmtId="41" fontId="43" fillId="0" borderId="96" xfId="0" applyNumberFormat="1" applyFont="1" applyFill="1" applyBorder="1" applyAlignment="1">
      <alignment horizontal="center" vertical="center"/>
    </xf>
    <xf numFmtId="41" fontId="43" fillId="0" borderId="1" xfId="0" applyNumberFormat="1" applyFont="1" applyFill="1" applyBorder="1" applyAlignment="1">
      <alignment horizontal="center" vertical="center"/>
    </xf>
    <xf numFmtId="41" fontId="43" fillId="0" borderId="92" xfId="0" applyNumberFormat="1" applyFont="1" applyFill="1" applyBorder="1" applyAlignment="1">
      <alignment horizontal="center" vertical="center"/>
    </xf>
    <xf numFmtId="41" fontId="43" fillId="0" borderId="25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41" fillId="0" borderId="0" xfId="0" applyFont="1" applyFill="1"/>
    <xf numFmtId="3" fontId="43" fillId="0" borderId="74" xfId="0" applyNumberFormat="1" applyFont="1" applyFill="1" applyBorder="1" applyAlignment="1">
      <alignment horizontal="center" vertical="center"/>
    </xf>
    <xf numFmtId="3" fontId="43" fillId="0" borderId="93" xfId="0" applyNumberFormat="1" applyFont="1" applyFill="1" applyBorder="1" applyAlignment="1">
      <alignment horizontal="center" vertical="center"/>
    </xf>
    <xf numFmtId="180" fontId="43" fillId="0" borderId="94" xfId="0" applyNumberFormat="1" applyFont="1" applyFill="1" applyBorder="1" applyAlignment="1">
      <alignment horizontal="center" vertical="center"/>
    </xf>
    <xf numFmtId="180" fontId="43" fillId="0" borderId="95" xfId="0" applyNumberFormat="1" applyFont="1" applyFill="1" applyBorder="1" applyAlignment="1">
      <alignment horizontal="center" vertical="center"/>
    </xf>
    <xf numFmtId="3" fontId="43" fillId="0" borderId="96" xfId="0" applyNumberFormat="1" applyFont="1" applyFill="1" applyBorder="1" applyAlignment="1">
      <alignment horizontal="center" vertical="center"/>
    </xf>
    <xf numFmtId="3" fontId="43" fillId="0" borderId="1" xfId="0" applyNumberFormat="1" applyFont="1" applyFill="1" applyBorder="1" applyAlignment="1">
      <alignment horizontal="center" vertical="center"/>
    </xf>
    <xf numFmtId="3" fontId="43" fillId="0" borderId="92" xfId="0" applyNumberFormat="1" applyFont="1" applyFill="1" applyBorder="1" applyAlignment="1">
      <alignment horizontal="center" vertical="center"/>
    </xf>
    <xf numFmtId="3" fontId="43" fillId="0" borderId="25" xfId="0" applyNumberFormat="1" applyFont="1" applyFill="1" applyBorder="1" applyAlignment="1">
      <alignment horizontal="center" vertical="center"/>
    </xf>
    <xf numFmtId="3" fontId="43" fillId="0" borderId="34" xfId="0" applyNumberFormat="1" applyFont="1" applyFill="1" applyBorder="1" applyAlignment="1">
      <alignment horizontal="center" vertical="center"/>
    </xf>
    <xf numFmtId="3" fontId="44" fillId="0" borderId="19" xfId="0" applyNumberFormat="1" applyFont="1" applyBorder="1" applyAlignment="1">
      <alignment vertical="center"/>
    </xf>
    <xf numFmtId="3" fontId="44" fillId="0" borderId="19" xfId="0" applyNumberFormat="1" applyFont="1" applyBorder="1" applyAlignment="1">
      <alignment vertical="center" shrinkToFit="1"/>
    </xf>
    <xf numFmtId="3" fontId="43" fillId="0" borderId="94" xfId="0" applyNumberFormat="1" applyFont="1" applyFill="1" applyBorder="1" applyAlignment="1">
      <alignment horizontal="center" vertical="center"/>
    </xf>
    <xf numFmtId="3" fontId="43" fillId="0" borderId="95" xfId="0" applyNumberFormat="1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26" xfId="0" applyFont="1" applyFill="1" applyBorder="1" applyAlignment="1">
      <alignment horizontal="center" vertical="center"/>
    </xf>
    <xf numFmtId="0" fontId="25" fillId="5" borderId="29" xfId="0" applyFont="1" applyFill="1" applyBorder="1" applyAlignment="1">
      <alignment horizontal="center" vertical="center"/>
    </xf>
    <xf numFmtId="0" fontId="25" fillId="5" borderId="97" xfId="0" applyFont="1" applyFill="1" applyBorder="1" applyAlignment="1">
      <alignment horizontal="center" vertical="center" wrapText="1"/>
    </xf>
    <xf numFmtId="0" fontId="25" fillId="5" borderId="98" xfId="0" applyFont="1" applyFill="1" applyBorder="1" applyAlignment="1">
      <alignment horizontal="center" vertical="center" wrapText="1"/>
    </xf>
    <xf numFmtId="0" fontId="25" fillId="5" borderId="99" xfId="0" applyFont="1" applyFill="1" applyBorder="1" applyAlignment="1">
      <alignment horizontal="left" vertical="center" wrapText="1"/>
    </xf>
    <xf numFmtId="0" fontId="25" fillId="5" borderId="100" xfId="0" applyFont="1" applyFill="1" applyBorder="1" applyAlignment="1">
      <alignment horizontal="left" vertical="center" wrapText="1"/>
    </xf>
    <xf numFmtId="0" fontId="25" fillId="5" borderId="101" xfId="0" applyFont="1" applyFill="1" applyBorder="1" applyAlignment="1">
      <alignment horizontal="left" vertical="center" wrapText="1"/>
    </xf>
    <xf numFmtId="0" fontId="25" fillId="5" borderId="102" xfId="0" applyFont="1" applyFill="1" applyBorder="1" applyAlignment="1">
      <alignment horizontal="center" vertical="center" wrapText="1"/>
    </xf>
    <xf numFmtId="0" fontId="25" fillId="5" borderId="103" xfId="0" applyFont="1" applyFill="1" applyBorder="1" applyAlignment="1">
      <alignment horizontal="center" vertical="center" wrapText="1"/>
    </xf>
    <xf numFmtId="0" fontId="25" fillId="5" borderId="104" xfId="0" applyFont="1" applyFill="1" applyBorder="1" applyAlignment="1">
      <alignment horizontal="left" vertical="center" wrapText="1"/>
    </xf>
    <xf numFmtId="0" fontId="25" fillId="5" borderId="105" xfId="0" applyFont="1" applyFill="1" applyBorder="1" applyAlignment="1">
      <alignment horizontal="left" vertical="center" wrapText="1"/>
    </xf>
    <xf numFmtId="0" fontId="25" fillId="5" borderId="106" xfId="0" applyFont="1" applyFill="1" applyBorder="1" applyAlignment="1">
      <alignment horizontal="left" vertical="center" wrapText="1"/>
    </xf>
    <xf numFmtId="0" fontId="25" fillId="0" borderId="69" xfId="11" applyNumberFormat="1" applyFont="1" applyFill="1" applyBorder="1" applyAlignment="1">
      <alignment horizontal="center" vertical="center"/>
    </xf>
    <xf numFmtId="0" fontId="25" fillId="0" borderId="75" xfId="11" applyNumberFormat="1" applyFont="1" applyFill="1" applyBorder="1" applyAlignment="1">
      <alignment horizontal="center" vertical="center"/>
    </xf>
    <xf numFmtId="0" fontId="25" fillId="0" borderId="88" xfId="11" applyNumberFormat="1" applyFont="1" applyFill="1" applyBorder="1" applyAlignment="1">
      <alignment horizontal="center" vertical="center"/>
    </xf>
    <xf numFmtId="0" fontId="25" fillId="0" borderId="5" xfId="11" applyNumberFormat="1" applyFont="1" applyFill="1" applyBorder="1" applyAlignment="1">
      <alignment horizontal="center" vertical="center"/>
    </xf>
    <xf numFmtId="0" fontId="25" fillId="0" borderId="41" xfId="11" applyNumberFormat="1" applyFont="1" applyFill="1" applyBorder="1" applyAlignment="1">
      <alignment horizontal="center" vertical="center"/>
    </xf>
    <xf numFmtId="0" fontId="25" fillId="0" borderId="13" xfId="1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40" fillId="5" borderId="107" xfId="0" applyFont="1" applyFill="1" applyBorder="1" applyAlignment="1">
      <alignment horizontal="center" vertical="center" wrapText="1"/>
    </xf>
    <xf numFmtId="0" fontId="40" fillId="5" borderId="108" xfId="0" applyFont="1" applyFill="1" applyBorder="1" applyAlignment="1">
      <alignment horizontal="center" vertical="center" wrapText="1"/>
    </xf>
    <xf numFmtId="0" fontId="40" fillId="5" borderId="109" xfId="0" applyFont="1" applyFill="1" applyBorder="1" applyAlignment="1">
      <alignment horizontal="center" vertical="center"/>
    </xf>
    <xf numFmtId="0" fontId="40" fillId="5" borderId="110" xfId="0" applyFont="1" applyFill="1" applyBorder="1" applyAlignment="1">
      <alignment horizontal="center" vertical="center"/>
    </xf>
    <xf numFmtId="0" fontId="40" fillId="5" borderId="111" xfId="0" applyFont="1" applyFill="1" applyBorder="1" applyAlignment="1">
      <alignment horizontal="center" vertical="center"/>
    </xf>
    <xf numFmtId="0" fontId="37" fillId="0" borderId="0" xfId="11" applyFont="1" applyFill="1" applyAlignment="1">
      <alignment horizontal="center" vertical="center"/>
    </xf>
    <xf numFmtId="0" fontId="25" fillId="0" borderId="112" xfId="11" applyNumberFormat="1" applyFont="1" applyFill="1" applyBorder="1" applyAlignment="1">
      <alignment horizontal="center" vertical="center"/>
    </xf>
    <xf numFmtId="0" fontId="25" fillId="0" borderId="35" xfId="11" applyNumberFormat="1" applyFont="1" applyFill="1" applyBorder="1" applyAlignment="1">
      <alignment horizontal="center" vertical="center"/>
    </xf>
    <xf numFmtId="0" fontId="25" fillId="0" borderId="81" xfId="11" applyNumberFormat="1" applyFont="1" applyFill="1" applyBorder="1" applyAlignment="1">
      <alignment horizontal="center" vertical="center"/>
    </xf>
    <xf numFmtId="0" fontId="25" fillId="0" borderId="42" xfId="11" applyNumberFormat="1" applyFont="1" applyFill="1" applyBorder="1" applyAlignment="1">
      <alignment horizontal="center" vertical="center"/>
    </xf>
    <xf numFmtId="0" fontId="25" fillId="0" borderId="24" xfId="11" applyNumberFormat="1" applyFont="1" applyFill="1" applyBorder="1" applyAlignment="1">
      <alignment horizontal="center" vertical="center"/>
    </xf>
    <xf numFmtId="0" fontId="25" fillId="0" borderId="64" xfId="11" applyNumberFormat="1" applyFont="1" applyFill="1" applyBorder="1" applyAlignment="1">
      <alignment horizontal="center" vertical="center"/>
    </xf>
    <xf numFmtId="0" fontId="25" fillId="0" borderId="17" xfId="11" applyNumberFormat="1" applyFont="1" applyFill="1" applyBorder="1" applyAlignment="1">
      <alignment horizontal="center" vertical="center"/>
    </xf>
    <xf numFmtId="0" fontId="25" fillId="0" borderId="53" xfId="11" applyNumberFormat="1" applyFont="1" applyFill="1" applyBorder="1" applyAlignment="1">
      <alignment horizontal="center" vertical="center"/>
    </xf>
    <xf numFmtId="0" fontId="25" fillId="0" borderId="56" xfId="11" applyNumberFormat="1" applyFont="1" applyFill="1" applyBorder="1" applyAlignment="1">
      <alignment horizontal="center" vertical="center"/>
    </xf>
    <xf numFmtId="0" fontId="25" fillId="0" borderId="78" xfId="11" applyNumberFormat="1" applyFont="1" applyFill="1" applyBorder="1" applyAlignment="1">
      <alignment horizontal="center" vertical="center"/>
    </xf>
    <xf numFmtId="0" fontId="25" fillId="0" borderId="113" xfId="11" applyNumberFormat="1" applyFont="1" applyFill="1" applyBorder="1" applyAlignment="1">
      <alignment horizontal="center" vertical="center"/>
    </xf>
    <xf numFmtId="0" fontId="25" fillId="0" borderId="63" xfId="11" applyNumberFormat="1" applyFont="1" applyFill="1" applyBorder="1" applyAlignment="1">
      <alignment horizontal="center" vertical="center"/>
    </xf>
    <xf numFmtId="0" fontId="25" fillId="0" borderId="65" xfId="11" applyNumberFormat="1" applyFont="1" applyFill="1" applyBorder="1" applyAlignment="1">
      <alignment horizontal="center" vertical="center"/>
    </xf>
    <xf numFmtId="0" fontId="25" fillId="0" borderId="114" xfId="11" applyNumberFormat="1" applyFont="1" applyFill="1" applyBorder="1" applyAlignment="1">
      <alignment horizontal="center" vertical="center"/>
    </xf>
    <xf numFmtId="0" fontId="25" fillId="0" borderId="32" xfId="11" applyNumberFormat="1" applyFont="1" applyFill="1" applyBorder="1" applyAlignment="1">
      <alignment horizontal="center" vertical="center"/>
    </xf>
    <xf numFmtId="0" fontId="25" fillId="0" borderId="79" xfId="11" applyNumberFormat="1" applyFont="1" applyFill="1" applyBorder="1" applyAlignment="1">
      <alignment horizontal="center" vertical="center"/>
    </xf>
    <xf numFmtId="0" fontId="25" fillId="0" borderId="115" xfId="11" applyNumberFormat="1" applyFont="1" applyFill="1" applyBorder="1" applyAlignment="1">
      <alignment horizontal="center" vertical="center"/>
    </xf>
    <xf numFmtId="0" fontId="25" fillId="0" borderId="70" xfId="11" applyNumberFormat="1" applyFont="1" applyFill="1" applyBorder="1" applyAlignment="1">
      <alignment horizontal="center" vertical="center"/>
    </xf>
    <xf numFmtId="0" fontId="25" fillId="0" borderId="71" xfId="11" applyNumberFormat="1" applyFont="1" applyFill="1" applyBorder="1" applyAlignment="1">
      <alignment horizontal="center" vertical="center"/>
    </xf>
    <xf numFmtId="0" fontId="21" fillId="0" borderId="0" xfId="9" applyFont="1" applyAlignment="1">
      <alignment horizontal="center" vertical="center"/>
    </xf>
    <xf numFmtId="0" fontId="23" fillId="0" borderId="0" xfId="9" applyFont="1" applyAlignment="1">
      <alignment horizontal="right" vertical="center"/>
    </xf>
    <xf numFmtId="0" fontId="24" fillId="0" borderId="9" xfId="9" applyFont="1" applyBorder="1" applyAlignment="1">
      <alignment horizontal="center" vertical="center"/>
    </xf>
    <xf numFmtId="0" fontId="24" fillId="0" borderId="16" xfId="9" applyFont="1" applyBorder="1" applyAlignment="1">
      <alignment horizontal="center" vertical="center"/>
    </xf>
    <xf numFmtId="0" fontId="24" fillId="0" borderId="68" xfId="9" applyNumberFormat="1" applyFont="1" applyBorder="1" applyAlignment="1">
      <alignment horizontal="center" vertical="center"/>
    </xf>
    <xf numFmtId="0" fontId="24" fillId="0" borderId="34" xfId="9" applyNumberFormat="1" applyFont="1" applyBorder="1" applyAlignment="1">
      <alignment horizontal="center" vertical="center"/>
    </xf>
    <xf numFmtId="0" fontId="26" fillId="0" borderId="72" xfId="7" applyFont="1" applyFill="1" applyBorder="1" applyAlignment="1">
      <alignment horizontal="center" vertical="center" wrapText="1"/>
    </xf>
    <xf numFmtId="0" fontId="26" fillId="0" borderId="73" xfId="7" applyFont="1" applyFill="1" applyBorder="1" applyAlignment="1">
      <alignment horizontal="center" vertical="center" wrapText="1"/>
    </xf>
    <xf numFmtId="0" fontId="26" fillId="0" borderId="96" xfId="7" applyFont="1" applyFill="1" applyBorder="1" applyAlignment="1">
      <alignment horizontal="center" vertical="center" wrapText="1"/>
    </xf>
    <xf numFmtId="0" fontId="26" fillId="0" borderId="70" xfId="7" applyFont="1" applyFill="1" applyBorder="1" applyAlignment="1">
      <alignment horizontal="center" vertical="center" wrapText="1"/>
    </xf>
    <xf numFmtId="0" fontId="26" fillId="0" borderId="0" xfId="7" applyFont="1" applyFill="1" applyBorder="1" applyAlignment="1">
      <alignment horizontal="center" vertical="center" wrapText="1"/>
    </xf>
    <xf numFmtId="0" fontId="26" fillId="0" borderId="71" xfId="7" applyFont="1" applyFill="1" applyBorder="1" applyAlignment="1">
      <alignment horizontal="center" vertical="center" wrapText="1"/>
    </xf>
    <xf numFmtId="0" fontId="25" fillId="0" borderId="69" xfId="7" applyNumberFormat="1" applyFont="1" applyFill="1" applyBorder="1" applyAlignment="1">
      <alignment horizontal="left" vertical="center"/>
    </xf>
    <xf numFmtId="0" fontId="25" fillId="0" borderId="0" xfId="7" applyNumberFormat="1" applyFont="1" applyFill="1" applyBorder="1" applyAlignment="1">
      <alignment horizontal="left" vertical="center"/>
    </xf>
    <xf numFmtId="186" fontId="27" fillId="0" borderId="70" xfId="7" applyNumberFormat="1" applyFont="1" applyFill="1" applyBorder="1" applyAlignment="1">
      <alignment horizontal="center" vertical="center"/>
    </xf>
    <xf numFmtId="186" fontId="27" fillId="0" borderId="0" xfId="7" applyNumberFormat="1" applyFont="1" applyFill="1" applyBorder="1" applyAlignment="1">
      <alignment horizontal="center" vertical="center"/>
    </xf>
    <xf numFmtId="186" fontId="27" fillId="0" borderId="71" xfId="7" applyNumberFormat="1" applyFont="1" applyFill="1" applyBorder="1" applyAlignment="1">
      <alignment horizontal="center" vertical="center"/>
    </xf>
    <xf numFmtId="0" fontId="28" fillId="0" borderId="70" xfId="7" applyFont="1" applyBorder="1" applyAlignment="1">
      <alignment horizontal="center" vertical="center" wrapText="1"/>
    </xf>
    <xf numFmtId="0" fontId="28" fillId="0" borderId="0" xfId="7" applyFont="1" applyBorder="1" applyAlignment="1">
      <alignment horizontal="center" vertical="center"/>
    </xf>
    <xf numFmtId="0" fontId="28" fillId="0" borderId="71" xfId="7" applyFont="1" applyBorder="1" applyAlignment="1">
      <alignment horizontal="center" vertical="center"/>
    </xf>
    <xf numFmtId="0" fontId="28" fillId="0" borderId="70" xfId="7" applyFont="1" applyBorder="1" applyAlignment="1">
      <alignment horizontal="center" vertical="center"/>
    </xf>
    <xf numFmtId="0" fontId="25" fillId="0" borderId="69" xfId="7" applyNumberFormat="1" applyFont="1" applyBorder="1" applyAlignment="1">
      <alignment horizontal="right" vertical="center"/>
    </xf>
    <xf numFmtId="0" fontId="25" fillId="0" borderId="0" xfId="7" applyNumberFormat="1" applyFont="1" applyBorder="1" applyAlignment="1">
      <alignment horizontal="right" vertical="center"/>
    </xf>
    <xf numFmtId="0" fontId="31" fillId="0" borderId="0" xfId="9" applyFont="1" applyAlignment="1">
      <alignment horizontal="center" vertical="center"/>
    </xf>
    <xf numFmtId="0" fontId="31" fillId="0" borderId="76" xfId="9" applyFont="1" applyBorder="1" applyAlignment="1">
      <alignment horizontal="center" vertical="center"/>
    </xf>
    <xf numFmtId="2" fontId="25" fillId="0" borderId="0" xfId="7" applyNumberFormat="1" applyFont="1" applyBorder="1" applyAlignment="1">
      <alignment horizontal="center" vertical="center"/>
    </xf>
    <xf numFmtId="0" fontId="25" fillId="0" borderId="0" xfId="4" applyNumberFormat="1" applyFont="1" applyBorder="1" applyAlignment="1">
      <alignment horizontal="left" vertical="center"/>
    </xf>
    <xf numFmtId="0" fontId="23" fillId="0" borderId="73" xfId="9" applyFont="1" applyBorder="1" applyAlignment="1">
      <alignment horizontal="center" vertical="center"/>
    </xf>
    <xf numFmtId="0" fontId="25" fillId="0" borderId="66" xfId="9" applyFont="1" applyBorder="1" applyAlignment="1">
      <alignment horizontal="center" vertical="center"/>
    </xf>
    <xf numFmtId="2" fontId="25" fillId="0" borderId="0" xfId="9" applyNumberFormat="1" applyFont="1" applyBorder="1" applyAlignment="1">
      <alignment horizontal="center" vertical="center"/>
    </xf>
    <xf numFmtId="0" fontId="25" fillId="0" borderId="0" xfId="9" applyNumberFormat="1" applyFont="1" applyBorder="1" applyAlignment="1">
      <alignment horizontal="center" vertical="center"/>
    </xf>
    <xf numFmtId="0" fontId="25" fillId="9" borderId="66" xfId="9" applyFont="1" applyFill="1" applyBorder="1" applyAlignment="1">
      <alignment horizontal="center" vertical="center"/>
    </xf>
    <xf numFmtId="0" fontId="25" fillId="0" borderId="69" xfId="9" applyNumberFormat="1" applyFont="1" applyBorder="1" applyAlignment="1">
      <alignment horizontal="right" vertical="center"/>
    </xf>
    <xf numFmtId="0" fontId="25" fillId="0" borderId="0" xfId="9" applyFont="1" applyAlignment="1">
      <alignment horizontal="center" vertical="center"/>
    </xf>
  </cellXfs>
  <cellStyles count="12">
    <cellStyle name="쉼표 [0]" xfId="1" builtinId="6"/>
    <cellStyle name="쉼표 [0] 2" xfId="2" xr:uid="{00000000-0005-0000-0000-000001000000}"/>
    <cellStyle name="쉼표 [0] 2 10" xfId="3" xr:uid="{00000000-0005-0000-0000-000002000000}"/>
    <cellStyle name="쉼표 [0] 4" xfId="4" xr:uid="{00000000-0005-0000-0000-000003000000}"/>
    <cellStyle name="표준" xfId="0" builtinId="0"/>
    <cellStyle name="표준 10" xfId="5" xr:uid="{00000000-0005-0000-0000-000005000000}"/>
    <cellStyle name="표준 2" xfId="6" xr:uid="{00000000-0005-0000-0000-000006000000}"/>
    <cellStyle name="표준 2 2 4" xfId="7" xr:uid="{00000000-0005-0000-0000-000007000000}"/>
    <cellStyle name="표준 7" xfId="8" xr:uid="{00000000-0005-0000-0000-000008000000}"/>
    <cellStyle name="표준 8" xfId="9" xr:uid="{00000000-0005-0000-0000-000009000000}"/>
    <cellStyle name="표준_내역서" xfId="10" xr:uid="{00000000-0005-0000-0000-00000A000000}"/>
    <cellStyle name="표준_수량산출서_2차설계변경후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3"/>
  <sheetViews>
    <sheetView workbookViewId="0">
      <selection activeCell="C46" sqref="C46"/>
    </sheetView>
  </sheetViews>
  <sheetFormatPr defaultColWidth="9.140625" defaultRowHeight="16.5"/>
  <cols>
    <col min="1" max="1" width="9.42578125" style="1" customWidth="1"/>
    <col min="2" max="2" width="6.5703125" style="1" customWidth="1"/>
    <col min="3" max="3" width="28.85546875" style="1" customWidth="1"/>
    <col min="4" max="4" width="31.42578125" style="1" customWidth="1"/>
    <col min="5" max="5" width="57.140625" style="1" customWidth="1"/>
    <col min="6" max="6" width="17.140625" style="1" customWidth="1"/>
    <col min="7" max="16384" width="9.140625" style="1"/>
  </cols>
  <sheetData>
    <row r="1" spans="1:256" ht="24" customHeight="1">
      <c r="A1" s="485" t="s">
        <v>131</v>
      </c>
      <c r="B1" s="485"/>
      <c r="C1" s="485"/>
      <c r="D1" s="485"/>
      <c r="E1" s="485"/>
      <c r="F1" s="485"/>
    </row>
    <row r="2" spans="1:256" ht="23.25" customHeight="1" thickBot="1">
      <c r="A2" s="2" t="s">
        <v>482</v>
      </c>
      <c r="B2" s="3"/>
      <c r="C2" s="3"/>
      <c r="D2" s="4"/>
      <c r="E2" s="486"/>
      <c r="F2" s="48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ht="18" customHeight="1">
      <c r="A3" s="487" t="s">
        <v>132</v>
      </c>
      <c r="B3" s="488"/>
      <c r="C3" s="488"/>
      <c r="D3" s="5" t="s">
        <v>133</v>
      </c>
      <c r="E3" s="5" t="s">
        <v>134</v>
      </c>
      <c r="F3" s="6" t="s">
        <v>135</v>
      </c>
    </row>
    <row r="4" spans="1:256" ht="18" customHeight="1">
      <c r="A4" s="7"/>
      <c r="B4" s="8" t="s">
        <v>136</v>
      </c>
      <c r="C4" s="9" t="s">
        <v>137</v>
      </c>
      <c r="D4" s="10">
        <f>총괄내역서!G6</f>
        <v>370226</v>
      </c>
      <c r="E4" s="11"/>
      <c r="F4" s="12"/>
    </row>
    <row r="5" spans="1:256" ht="18" customHeight="1">
      <c r="A5" s="13"/>
      <c r="B5" s="14" t="s">
        <v>138</v>
      </c>
      <c r="C5" s="9" t="s">
        <v>139</v>
      </c>
      <c r="D5" s="15"/>
      <c r="E5" s="11"/>
      <c r="F5" s="12"/>
    </row>
    <row r="6" spans="1:256" ht="18" customHeight="1" thickBot="1">
      <c r="A6" s="13"/>
      <c r="B6" s="16" t="s">
        <v>39</v>
      </c>
      <c r="C6" s="17" t="s">
        <v>140</v>
      </c>
      <c r="D6" s="18">
        <f>SUM(D4:D5)</f>
        <v>370226</v>
      </c>
      <c r="E6" s="19"/>
      <c r="F6" s="20"/>
    </row>
    <row r="7" spans="1:256" ht="18" customHeight="1">
      <c r="A7" s="13" t="s">
        <v>141</v>
      </c>
      <c r="B7" s="14" t="s">
        <v>142</v>
      </c>
      <c r="C7" s="21" t="s">
        <v>143</v>
      </c>
      <c r="D7" s="22">
        <f>총괄내역서!I6</f>
        <v>16834373</v>
      </c>
      <c r="E7" s="23"/>
      <c r="F7" s="24"/>
    </row>
    <row r="8" spans="1:256" ht="18" customHeight="1">
      <c r="A8" s="13"/>
      <c r="B8" s="14" t="s">
        <v>144</v>
      </c>
      <c r="C8" s="9" t="s">
        <v>145</v>
      </c>
      <c r="D8" s="25">
        <f>총괄내역서!E7</f>
        <v>2323143</v>
      </c>
      <c r="E8" s="11" t="s">
        <v>466</v>
      </c>
      <c r="F8" s="12"/>
    </row>
    <row r="9" spans="1:256" ht="18" customHeight="1" thickBot="1">
      <c r="A9" s="13" t="s">
        <v>146</v>
      </c>
      <c r="B9" s="16" t="s">
        <v>39</v>
      </c>
      <c r="C9" s="17" t="s">
        <v>140</v>
      </c>
      <c r="D9" s="18">
        <f>SUM(D7:D8)</f>
        <v>19157516</v>
      </c>
      <c r="E9" s="19"/>
      <c r="F9" s="20"/>
    </row>
    <row r="10" spans="1:256" ht="18" customHeight="1">
      <c r="A10" s="13"/>
      <c r="B10" s="14"/>
      <c r="C10" s="21" t="s">
        <v>147</v>
      </c>
      <c r="D10" s="22">
        <f>총괄내역서!K6</f>
        <v>119473</v>
      </c>
      <c r="E10" s="23"/>
      <c r="F10" s="24"/>
    </row>
    <row r="11" spans="1:256" ht="18" customHeight="1">
      <c r="A11" s="13" t="s">
        <v>148</v>
      </c>
      <c r="B11" s="14"/>
      <c r="C11" s="9" t="s">
        <v>149</v>
      </c>
      <c r="D11" s="25">
        <f>총괄내역서!E8</f>
        <v>708828</v>
      </c>
      <c r="E11" s="11" t="s">
        <v>467</v>
      </c>
      <c r="F11" s="12"/>
    </row>
    <row r="12" spans="1:256" ht="18" customHeight="1">
      <c r="A12" s="13"/>
      <c r="B12" s="14" t="s">
        <v>150</v>
      </c>
      <c r="C12" s="9" t="s">
        <v>151</v>
      </c>
      <c r="D12" s="25">
        <f>총괄내역서!E9</f>
        <v>193490</v>
      </c>
      <c r="E12" s="11" t="s">
        <v>468</v>
      </c>
      <c r="F12" s="12"/>
    </row>
    <row r="13" spans="1:256" ht="18" customHeight="1">
      <c r="A13" s="13" t="s">
        <v>152</v>
      </c>
      <c r="B13" s="14"/>
      <c r="C13" s="9" t="s">
        <v>153</v>
      </c>
      <c r="D13" s="25">
        <f>총괄내역서!E10</f>
        <v>577418</v>
      </c>
      <c r="E13" s="11" t="s">
        <v>469</v>
      </c>
      <c r="F13" s="12"/>
    </row>
    <row r="14" spans="1:256" ht="18" customHeight="1">
      <c r="A14" s="13"/>
      <c r="B14" s="14"/>
      <c r="C14" s="9" t="s">
        <v>154</v>
      </c>
      <c r="D14" s="25">
        <f>총괄내역서!E11</f>
        <v>757546</v>
      </c>
      <c r="E14" s="11" t="s">
        <v>470</v>
      </c>
      <c r="F14" s="12"/>
    </row>
    <row r="15" spans="1:256" ht="18" customHeight="1">
      <c r="A15" s="13" t="s">
        <v>155</v>
      </c>
      <c r="B15" s="14"/>
      <c r="C15" s="9" t="s">
        <v>471</v>
      </c>
      <c r="D15" s="25">
        <f>총괄내역서!E12</f>
        <v>66518</v>
      </c>
      <c r="E15" s="26" t="s">
        <v>475</v>
      </c>
      <c r="F15" s="12"/>
    </row>
    <row r="16" spans="1:256" ht="18" customHeight="1">
      <c r="A16" s="13"/>
      <c r="B16" s="14"/>
      <c r="C16" s="39" t="s">
        <v>472</v>
      </c>
      <c r="D16" s="25">
        <f>총괄내역서!E13</f>
        <v>387190</v>
      </c>
      <c r="E16" s="11" t="s">
        <v>473</v>
      </c>
      <c r="F16" s="12"/>
    </row>
    <row r="17" spans="1:6" ht="18" customHeight="1">
      <c r="A17" s="13"/>
      <c r="B17" s="14"/>
      <c r="C17" s="39" t="s">
        <v>158</v>
      </c>
      <c r="D17" s="25">
        <f>총괄내역서!E14</f>
        <v>69296</v>
      </c>
      <c r="E17" s="26" t="s">
        <v>474</v>
      </c>
      <c r="F17" s="12"/>
    </row>
    <row r="18" spans="1:6" ht="18" customHeight="1">
      <c r="A18" s="13"/>
      <c r="B18" s="14"/>
      <c r="C18" s="39" t="s">
        <v>477</v>
      </c>
      <c r="D18" s="25">
        <f>총괄내역서!E15</f>
        <v>15817</v>
      </c>
      <c r="E18" s="26" t="s">
        <v>476</v>
      </c>
      <c r="F18" s="12"/>
    </row>
    <row r="19" spans="1:6" ht="18" customHeight="1">
      <c r="A19" s="13"/>
      <c r="B19" s="14" t="s">
        <v>156</v>
      </c>
      <c r="C19" s="9" t="s">
        <v>478</v>
      </c>
      <c r="D19" s="25">
        <f>총괄내역서!E16</f>
        <v>604912.79999999993</v>
      </c>
      <c r="E19" s="26" t="s">
        <v>480</v>
      </c>
      <c r="F19" s="12"/>
    </row>
    <row r="20" spans="1:6" ht="18" customHeight="1">
      <c r="A20" s="13"/>
      <c r="B20" s="14"/>
      <c r="C20" s="39" t="s">
        <v>157</v>
      </c>
      <c r="D20" s="25">
        <f>총괄내역서!E17</f>
        <v>507595</v>
      </c>
      <c r="E20" s="26" t="s">
        <v>479</v>
      </c>
      <c r="F20" s="12"/>
    </row>
    <row r="21" spans="1:6" ht="18" customHeight="1">
      <c r="A21" s="13"/>
      <c r="B21" s="14"/>
      <c r="C21" s="9" t="s">
        <v>159</v>
      </c>
      <c r="D21" s="25">
        <f>총괄내역서!E18</f>
        <v>155916</v>
      </c>
      <c r="E21" s="26" t="s">
        <v>449</v>
      </c>
      <c r="F21" s="12"/>
    </row>
    <row r="22" spans="1:6" ht="18" customHeight="1">
      <c r="A22" s="13"/>
      <c r="B22" s="14"/>
      <c r="C22" s="9" t="s">
        <v>160</v>
      </c>
      <c r="D22" s="25">
        <f>총괄내역서!E19</f>
        <v>1427981</v>
      </c>
      <c r="E22" s="26" t="s">
        <v>451</v>
      </c>
      <c r="F22" s="12"/>
    </row>
    <row r="23" spans="1:6" ht="18" customHeight="1" thickBot="1">
      <c r="A23" s="27"/>
      <c r="B23" s="28"/>
      <c r="C23" s="17" t="s">
        <v>161</v>
      </c>
      <c r="D23" s="29">
        <f>SUM(D10:D22)-D19</f>
        <v>4987068</v>
      </c>
      <c r="E23" s="19"/>
      <c r="F23" s="20"/>
    </row>
    <row r="24" spans="1:6" ht="18" customHeight="1">
      <c r="A24" s="489" t="s">
        <v>38</v>
      </c>
      <c r="B24" s="490"/>
      <c r="C24" s="490"/>
      <c r="D24" s="22">
        <f>D23+D9+D6</f>
        <v>24514810</v>
      </c>
      <c r="E24" s="23"/>
      <c r="F24" s="24"/>
    </row>
    <row r="25" spans="1:6" ht="18" customHeight="1">
      <c r="A25" s="489" t="s">
        <v>162</v>
      </c>
      <c r="B25" s="491"/>
      <c r="C25" s="491"/>
      <c r="D25" s="25">
        <f>총괄내역서!E21</f>
        <v>1470888</v>
      </c>
      <c r="E25" s="11" t="s">
        <v>454</v>
      </c>
      <c r="F25" s="12"/>
    </row>
    <row r="26" spans="1:6" ht="18" customHeight="1">
      <c r="A26" s="489" t="s">
        <v>163</v>
      </c>
      <c r="B26" s="491"/>
      <c r="C26" s="491"/>
      <c r="D26" s="25">
        <f>총괄내역서!E22</f>
        <v>3856918</v>
      </c>
      <c r="E26" s="11" t="s">
        <v>456</v>
      </c>
      <c r="F26" s="12"/>
    </row>
    <row r="27" spans="1:6" ht="18" customHeight="1">
      <c r="A27" s="492" t="s">
        <v>164</v>
      </c>
      <c r="B27" s="493"/>
      <c r="C27" s="493"/>
      <c r="D27" s="30">
        <f>SUM(D24:D26)</f>
        <v>29842616</v>
      </c>
      <c r="E27" s="11"/>
      <c r="F27" s="12"/>
    </row>
    <row r="28" spans="1:6" ht="18" customHeight="1">
      <c r="A28" s="492" t="s">
        <v>165</v>
      </c>
      <c r="B28" s="493"/>
      <c r="C28" s="493"/>
      <c r="D28" s="30"/>
      <c r="E28" s="11"/>
      <c r="F28" s="12"/>
    </row>
    <row r="29" spans="1:6" ht="18" customHeight="1">
      <c r="A29" s="492" t="s">
        <v>166</v>
      </c>
      <c r="B29" s="493"/>
      <c r="C29" s="493"/>
      <c r="D29" s="31">
        <f>INT((D27+D28)*10%)+1</f>
        <v>2984262</v>
      </c>
      <c r="E29" s="11" t="s">
        <v>167</v>
      </c>
      <c r="F29" s="12"/>
    </row>
    <row r="30" spans="1:6" ht="18" customHeight="1">
      <c r="A30" s="492" t="s">
        <v>168</v>
      </c>
      <c r="B30" s="493"/>
      <c r="C30" s="493"/>
      <c r="D30" s="30">
        <f>SUM(D27:D29)</f>
        <v>32826878</v>
      </c>
      <c r="E30" s="11"/>
      <c r="F30" s="12"/>
    </row>
    <row r="31" spans="1:6" ht="18" customHeight="1" thickBot="1">
      <c r="A31" s="483" t="s">
        <v>169</v>
      </c>
      <c r="B31" s="484"/>
      <c r="C31" s="484"/>
      <c r="D31" s="32">
        <f>SUM(D30:D30)</f>
        <v>32826878</v>
      </c>
      <c r="E31" s="33"/>
      <c r="F31" s="34"/>
    </row>
    <row r="32" spans="1:6" ht="19.5" customHeight="1">
      <c r="C32" s="35"/>
      <c r="D32" s="36"/>
    </row>
    <row r="33" spans="3:4">
      <c r="C33" s="37"/>
      <c r="D33" s="38"/>
    </row>
  </sheetData>
  <mergeCells count="11">
    <mergeCell ref="A31:C31"/>
    <mergeCell ref="A1:F1"/>
    <mergeCell ref="E2:F2"/>
    <mergeCell ref="A3:C3"/>
    <mergeCell ref="A24:C24"/>
    <mergeCell ref="A25:C25"/>
    <mergeCell ref="A26:C26"/>
    <mergeCell ref="A27:C27"/>
    <mergeCell ref="A28:C28"/>
    <mergeCell ref="A29:C29"/>
    <mergeCell ref="A30:C30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5"/>
  <sheetViews>
    <sheetView workbookViewId="0">
      <selection activeCell="M13" sqref="M13"/>
    </sheetView>
  </sheetViews>
  <sheetFormatPr defaultColWidth="9.140625" defaultRowHeight="16.5"/>
  <cols>
    <col min="1" max="1" width="14.5703125" style="313" customWidth="1"/>
    <col min="2" max="12" width="10.42578125" style="314" customWidth="1"/>
    <col min="13" max="13" width="10.42578125" style="315" customWidth="1"/>
    <col min="14" max="16384" width="9.140625" style="256"/>
  </cols>
  <sheetData>
    <row r="1" spans="1:13" ht="27.95" customHeight="1">
      <c r="A1" s="555" t="s">
        <v>427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3" s="259" customFormat="1" ht="15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</row>
    <row r="3" spans="1:13" s="264" customFormat="1" ht="20.100000000000001" customHeight="1">
      <c r="A3" s="260" t="s">
        <v>210</v>
      </c>
      <c r="B3" s="261"/>
      <c r="C3" s="261"/>
      <c r="D3" s="261"/>
      <c r="E3" s="261"/>
      <c r="F3" s="261"/>
      <c r="G3" s="261"/>
      <c r="H3" s="262"/>
      <c r="I3" s="262"/>
      <c r="J3" s="262"/>
      <c r="K3" s="262"/>
      <c r="L3" s="262"/>
      <c r="M3" s="263" t="s">
        <v>94</v>
      </c>
    </row>
    <row r="4" spans="1:13" s="264" customFormat="1" ht="20.100000000000001" customHeight="1">
      <c r="A4" s="556" t="s">
        <v>211</v>
      </c>
      <c r="B4" s="560" t="s">
        <v>212</v>
      </c>
      <c r="C4" s="561"/>
      <c r="D4" s="561"/>
      <c r="E4" s="561"/>
      <c r="F4" s="562"/>
      <c r="G4" s="563" t="s">
        <v>213</v>
      </c>
      <c r="H4" s="566" t="s">
        <v>214</v>
      </c>
      <c r="I4" s="567"/>
      <c r="J4" s="567"/>
      <c r="K4" s="567"/>
      <c r="L4" s="567"/>
      <c r="M4" s="568"/>
    </row>
    <row r="5" spans="1:13" s="268" customFormat="1" ht="20.100000000000001" customHeight="1">
      <c r="A5" s="557"/>
      <c r="B5" s="265" t="s">
        <v>215</v>
      </c>
      <c r="C5" s="266" t="s">
        <v>95</v>
      </c>
      <c r="D5" s="266" t="s">
        <v>216</v>
      </c>
      <c r="E5" s="266" t="s">
        <v>96</v>
      </c>
      <c r="F5" s="267" t="s">
        <v>217</v>
      </c>
      <c r="G5" s="564"/>
      <c r="H5" s="569" t="s">
        <v>97</v>
      </c>
      <c r="I5" s="570"/>
      <c r="J5" s="571" t="s">
        <v>218</v>
      </c>
      <c r="K5" s="570"/>
      <c r="L5" s="571" t="s">
        <v>219</v>
      </c>
      <c r="M5" s="572"/>
    </row>
    <row r="6" spans="1:13" s="268" customFormat="1" ht="20.100000000000001" customHeight="1">
      <c r="A6" s="557"/>
      <c r="B6" s="269" t="s">
        <v>98</v>
      </c>
      <c r="C6" s="270" t="s">
        <v>99</v>
      </c>
      <c r="D6" s="270" t="s">
        <v>220</v>
      </c>
      <c r="E6" s="270" t="s">
        <v>221</v>
      </c>
      <c r="F6" s="271" t="s">
        <v>222</v>
      </c>
      <c r="G6" s="564"/>
      <c r="H6" s="573" t="s">
        <v>223</v>
      </c>
      <c r="I6" s="574"/>
      <c r="J6" s="543" t="s">
        <v>224</v>
      </c>
      <c r="K6" s="574"/>
      <c r="L6" s="543" t="s">
        <v>225</v>
      </c>
      <c r="M6" s="544"/>
    </row>
    <row r="7" spans="1:13" s="268" customFormat="1" ht="20.100000000000001" customHeight="1">
      <c r="A7" s="558"/>
      <c r="B7" s="272"/>
      <c r="C7" s="273" t="s">
        <v>226</v>
      </c>
      <c r="D7" s="273" t="s">
        <v>100</v>
      </c>
      <c r="E7" s="273"/>
      <c r="F7" s="274" t="s">
        <v>227</v>
      </c>
      <c r="G7" s="565"/>
      <c r="H7" s="545" t="s">
        <v>228</v>
      </c>
      <c r="I7" s="546"/>
      <c r="J7" s="547" t="s">
        <v>101</v>
      </c>
      <c r="K7" s="546"/>
      <c r="L7" s="547" t="s">
        <v>102</v>
      </c>
      <c r="M7" s="548"/>
    </row>
    <row r="8" spans="1:13" s="268" customFormat="1" ht="20.100000000000001" customHeight="1">
      <c r="A8" s="559"/>
      <c r="B8" s="275" t="s">
        <v>103</v>
      </c>
      <c r="C8" s="276" t="s">
        <v>229</v>
      </c>
      <c r="D8" s="276" t="s">
        <v>229</v>
      </c>
      <c r="E8" s="276" t="s">
        <v>104</v>
      </c>
      <c r="F8" s="277" t="s">
        <v>104</v>
      </c>
      <c r="G8" s="278" t="s">
        <v>230</v>
      </c>
      <c r="H8" s="275" t="s">
        <v>231</v>
      </c>
      <c r="I8" s="276" t="s">
        <v>232</v>
      </c>
      <c r="J8" s="276" t="s">
        <v>233</v>
      </c>
      <c r="K8" s="276" t="s">
        <v>234</v>
      </c>
      <c r="L8" s="276" t="s">
        <v>231</v>
      </c>
      <c r="M8" s="277" t="s">
        <v>232</v>
      </c>
    </row>
    <row r="9" spans="1:13" s="268" customFormat="1" ht="20.100000000000001" customHeight="1">
      <c r="A9" s="279" t="s">
        <v>235</v>
      </c>
      <c r="B9" s="280">
        <v>9</v>
      </c>
      <c r="C9" s="281">
        <f t="shared" ref="C9:C19" si="0">D9/1.2</f>
        <v>37.5</v>
      </c>
      <c r="D9" s="273">
        <v>45</v>
      </c>
      <c r="E9" s="281"/>
      <c r="F9" s="282">
        <f t="shared" ref="F9:F19" si="1">ROUND((24+(D9-3)*4)/100,3)</f>
        <v>1.92</v>
      </c>
      <c r="G9" s="279">
        <v>1</v>
      </c>
      <c r="H9" s="280">
        <f t="shared" ref="H9:H19" si="2">ROUND((0.5*3.14*((C9*0.01)/2)^2*B9*1.23*(1+1))*G9,3)</f>
        <v>1.222</v>
      </c>
      <c r="I9" s="281">
        <f t="shared" ref="I9:I19" si="3">ROUND((0.5*3.14*((C9*0.01)/2)^2*B9*(1+1))*G9,3)</f>
        <v>0.99399999999999999</v>
      </c>
      <c r="J9" s="281">
        <f t="shared" ref="J9:J19" si="4">ROUND(H9*(9/91),2)</f>
        <v>0.12</v>
      </c>
      <c r="K9" s="281">
        <f t="shared" ref="K9:K19" si="5">ROUND(I9*(25/75),2)</f>
        <v>0.33</v>
      </c>
      <c r="L9" s="283">
        <f t="shared" ref="L9:M19" si="6">H9+J9</f>
        <v>1.3420000000000001</v>
      </c>
      <c r="M9" s="284">
        <f t="shared" si="6"/>
        <v>1.3240000000000001</v>
      </c>
    </row>
    <row r="10" spans="1:13" s="268" customFormat="1" ht="20.100000000000001" customHeight="1">
      <c r="A10" s="279" t="s">
        <v>236</v>
      </c>
      <c r="B10" s="280">
        <v>9</v>
      </c>
      <c r="C10" s="285">
        <f t="shared" si="0"/>
        <v>41.666666666666671</v>
      </c>
      <c r="D10" s="273">
        <v>50</v>
      </c>
      <c r="E10" s="281"/>
      <c r="F10" s="282">
        <f t="shared" si="1"/>
        <v>2.12</v>
      </c>
      <c r="G10" s="279">
        <v>1</v>
      </c>
      <c r="H10" s="280">
        <f t="shared" si="2"/>
        <v>1.5089999999999999</v>
      </c>
      <c r="I10" s="281">
        <f t="shared" si="3"/>
        <v>1.2270000000000001</v>
      </c>
      <c r="J10" s="281">
        <f t="shared" si="4"/>
        <v>0.15</v>
      </c>
      <c r="K10" s="281">
        <f t="shared" si="5"/>
        <v>0.41</v>
      </c>
      <c r="L10" s="283">
        <f t="shared" si="6"/>
        <v>1.6589999999999998</v>
      </c>
      <c r="M10" s="284">
        <f t="shared" si="6"/>
        <v>1.637</v>
      </c>
    </row>
    <row r="11" spans="1:13" s="268" customFormat="1" ht="20.100000000000001" customHeight="1">
      <c r="A11" s="279" t="s">
        <v>237</v>
      </c>
      <c r="B11" s="280">
        <v>9</v>
      </c>
      <c r="C11" s="285">
        <f t="shared" si="0"/>
        <v>45.833333333333336</v>
      </c>
      <c r="D11" s="273">
        <v>55</v>
      </c>
      <c r="E11" s="281"/>
      <c r="F11" s="282">
        <f t="shared" si="1"/>
        <v>2.3199999999999998</v>
      </c>
      <c r="G11" s="279">
        <v>1</v>
      </c>
      <c r="H11" s="280">
        <f t="shared" si="2"/>
        <v>1.825</v>
      </c>
      <c r="I11" s="281">
        <f t="shared" si="3"/>
        <v>1.484</v>
      </c>
      <c r="J11" s="281">
        <f t="shared" si="4"/>
        <v>0.18</v>
      </c>
      <c r="K11" s="281">
        <f t="shared" si="5"/>
        <v>0.49</v>
      </c>
      <c r="L11" s="283">
        <f t="shared" si="6"/>
        <v>2.0049999999999999</v>
      </c>
      <c r="M11" s="284">
        <f t="shared" si="6"/>
        <v>1.974</v>
      </c>
    </row>
    <row r="12" spans="1:13" s="268" customFormat="1" ht="20.100000000000001" customHeight="1">
      <c r="A12" s="279" t="s">
        <v>184</v>
      </c>
      <c r="B12" s="280">
        <v>12</v>
      </c>
      <c r="C12" s="285">
        <f t="shared" si="0"/>
        <v>66.666666666666671</v>
      </c>
      <c r="D12" s="273">
        <v>80</v>
      </c>
      <c r="E12" s="281"/>
      <c r="F12" s="282">
        <f t="shared" si="1"/>
        <v>3.32</v>
      </c>
      <c r="G12" s="279">
        <v>1</v>
      </c>
      <c r="H12" s="280">
        <f t="shared" si="2"/>
        <v>5.15</v>
      </c>
      <c r="I12" s="281">
        <f t="shared" si="3"/>
        <v>4.1870000000000003</v>
      </c>
      <c r="J12" s="281">
        <f t="shared" si="4"/>
        <v>0.51</v>
      </c>
      <c r="K12" s="281">
        <f t="shared" si="5"/>
        <v>1.4</v>
      </c>
      <c r="L12" s="283">
        <f t="shared" si="6"/>
        <v>5.66</v>
      </c>
      <c r="M12" s="284">
        <f t="shared" si="6"/>
        <v>5.5869999999999997</v>
      </c>
    </row>
    <row r="13" spans="1:13" s="268" customFormat="1" ht="20.25" customHeight="1">
      <c r="A13" s="279" t="s">
        <v>238</v>
      </c>
      <c r="B13" s="280">
        <v>12</v>
      </c>
      <c r="C13" s="285">
        <f t="shared" si="0"/>
        <v>70.833333333333343</v>
      </c>
      <c r="D13" s="273">
        <v>85</v>
      </c>
      <c r="E13" s="281"/>
      <c r="F13" s="282">
        <f t="shared" si="1"/>
        <v>3.52</v>
      </c>
      <c r="G13" s="279">
        <v>1</v>
      </c>
      <c r="H13" s="280">
        <f t="shared" si="2"/>
        <v>5.8129999999999997</v>
      </c>
      <c r="I13" s="281">
        <f t="shared" si="3"/>
        <v>4.726</v>
      </c>
      <c r="J13" s="281">
        <f t="shared" si="4"/>
        <v>0.56999999999999995</v>
      </c>
      <c r="K13" s="281">
        <f t="shared" si="5"/>
        <v>1.58</v>
      </c>
      <c r="L13" s="283">
        <f t="shared" si="6"/>
        <v>6.383</v>
      </c>
      <c r="M13" s="284">
        <f t="shared" si="6"/>
        <v>6.306</v>
      </c>
    </row>
    <row r="14" spans="1:13" s="268" customFormat="1" ht="20.100000000000001" customHeight="1">
      <c r="A14" s="279" t="s">
        <v>240</v>
      </c>
      <c r="B14" s="280">
        <v>9</v>
      </c>
      <c r="C14" s="285">
        <f t="shared" si="0"/>
        <v>29.166666666666668</v>
      </c>
      <c r="D14" s="273">
        <v>35</v>
      </c>
      <c r="E14" s="281"/>
      <c r="F14" s="282">
        <f t="shared" si="1"/>
        <v>1.52</v>
      </c>
      <c r="G14" s="279">
        <v>1</v>
      </c>
      <c r="H14" s="280">
        <f t="shared" si="2"/>
        <v>0.73899999999999999</v>
      </c>
      <c r="I14" s="281">
        <f t="shared" si="3"/>
        <v>0.60099999999999998</v>
      </c>
      <c r="J14" s="281">
        <f t="shared" si="4"/>
        <v>7.0000000000000007E-2</v>
      </c>
      <c r="K14" s="281">
        <f t="shared" si="5"/>
        <v>0.2</v>
      </c>
      <c r="L14" s="283">
        <f t="shared" si="6"/>
        <v>0.80899999999999994</v>
      </c>
      <c r="M14" s="284">
        <f t="shared" si="6"/>
        <v>0.80099999999999993</v>
      </c>
    </row>
    <row r="15" spans="1:13" s="268" customFormat="1" ht="20.100000000000001" customHeight="1">
      <c r="A15" s="279" t="s">
        <v>240</v>
      </c>
      <c r="B15" s="280">
        <v>9</v>
      </c>
      <c r="C15" s="285">
        <f t="shared" si="0"/>
        <v>41.666666666666671</v>
      </c>
      <c r="D15" s="273">
        <v>50</v>
      </c>
      <c r="E15" s="281"/>
      <c r="F15" s="282">
        <f t="shared" si="1"/>
        <v>2.12</v>
      </c>
      <c r="G15" s="279">
        <v>3</v>
      </c>
      <c r="H15" s="280">
        <f t="shared" si="2"/>
        <v>4.5259999999999998</v>
      </c>
      <c r="I15" s="281">
        <f t="shared" si="3"/>
        <v>3.68</v>
      </c>
      <c r="J15" s="281">
        <f t="shared" si="4"/>
        <v>0.45</v>
      </c>
      <c r="K15" s="281">
        <f t="shared" si="5"/>
        <v>1.23</v>
      </c>
      <c r="L15" s="283">
        <f t="shared" si="6"/>
        <v>4.976</v>
      </c>
      <c r="M15" s="284">
        <f t="shared" si="6"/>
        <v>4.91</v>
      </c>
    </row>
    <row r="16" spans="1:13" s="268" customFormat="1" ht="20.100000000000001" customHeight="1">
      <c r="A16" s="279" t="s">
        <v>241</v>
      </c>
      <c r="B16" s="280">
        <v>9</v>
      </c>
      <c r="C16" s="285">
        <f t="shared" si="0"/>
        <v>50</v>
      </c>
      <c r="D16" s="273">
        <v>60</v>
      </c>
      <c r="E16" s="281"/>
      <c r="F16" s="282">
        <f t="shared" si="1"/>
        <v>2.52</v>
      </c>
      <c r="G16" s="279">
        <v>1</v>
      </c>
      <c r="H16" s="280">
        <f t="shared" si="2"/>
        <v>2.1720000000000002</v>
      </c>
      <c r="I16" s="281">
        <f t="shared" si="3"/>
        <v>1.766</v>
      </c>
      <c r="J16" s="281">
        <f t="shared" si="4"/>
        <v>0.21</v>
      </c>
      <c r="K16" s="281">
        <f t="shared" si="5"/>
        <v>0.59</v>
      </c>
      <c r="L16" s="283">
        <f t="shared" si="6"/>
        <v>2.3820000000000001</v>
      </c>
      <c r="M16" s="284">
        <f t="shared" si="6"/>
        <v>2.3559999999999999</v>
      </c>
    </row>
    <row r="17" spans="1:13" s="268" customFormat="1" ht="20.100000000000001" customHeight="1">
      <c r="A17" s="279" t="s">
        <v>239</v>
      </c>
      <c r="B17" s="280">
        <v>12</v>
      </c>
      <c r="C17" s="285">
        <f t="shared" si="0"/>
        <v>66.666666666666671</v>
      </c>
      <c r="D17" s="273">
        <v>80</v>
      </c>
      <c r="E17" s="281"/>
      <c r="F17" s="282">
        <f t="shared" si="1"/>
        <v>3.32</v>
      </c>
      <c r="G17" s="279">
        <v>1</v>
      </c>
      <c r="H17" s="280">
        <f t="shared" si="2"/>
        <v>5.15</v>
      </c>
      <c r="I17" s="281">
        <f t="shared" si="3"/>
        <v>4.1870000000000003</v>
      </c>
      <c r="J17" s="281">
        <f t="shared" si="4"/>
        <v>0.51</v>
      </c>
      <c r="K17" s="281">
        <f t="shared" si="5"/>
        <v>1.4</v>
      </c>
      <c r="L17" s="283">
        <f t="shared" si="6"/>
        <v>5.66</v>
      </c>
      <c r="M17" s="284">
        <f t="shared" si="6"/>
        <v>5.5869999999999997</v>
      </c>
    </row>
    <row r="18" spans="1:13" s="268" customFormat="1" ht="20.100000000000001" customHeight="1">
      <c r="A18" s="279" t="s">
        <v>242</v>
      </c>
      <c r="B18" s="280">
        <v>9</v>
      </c>
      <c r="C18" s="285">
        <f t="shared" si="0"/>
        <v>33.333333333333336</v>
      </c>
      <c r="D18" s="273">
        <v>40</v>
      </c>
      <c r="E18" s="281"/>
      <c r="F18" s="282">
        <f t="shared" si="1"/>
        <v>1.72</v>
      </c>
      <c r="G18" s="279">
        <v>1</v>
      </c>
      <c r="H18" s="280">
        <f t="shared" si="2"/>
        <v>0.96599999999999997</v>
      </c>
      <c r="I18" s="281">
        <f t="shared" si="3"/>
        <v>0.78500000000000003</v>
      </c>
      <c r="J18" s="281">
        <f t="shared" si="4"/>
        <v>0.1</v>
      </c>
      <c r="K18" s="281">
        <f t="shared" si="5"/>
        <v>0.26</v>
      </c>
      <c r="L18" s="283">
        <f t="shared" si="6"/>
        <v>1.0660000000000001</v>
      </c>
      <c r="M18" s="284">
        <f t="shared" si="6"/>
        <v>1.0449999999999999</v>
      </c>
    </row>
    <row r="19" spans="1:13" s="268" customFormat="1" ht="20.100000000000001" customHeight="1">
      <c r="A19" s="279" t="s">
        <v>243</v>
      </c>
      <c r="B19" s="280">
        <v>9</v>
      </c>
      <c r="C19" s="285">
        <f t="shared" si="0"/>
        <v>41.666666666666671</v>
      </c>
      <c r="D19" s="273">
        <v>50</v>
      </c>
      <c r="E19" s="281"/>
      <c r="F19" s="282">
        <f t="shared" si="1"/>
        <v>2.12</v>
      </c>
      <c r="G19" s="279">
        <v>1</v>
      </c>
      <c r="H19" s="280">
        <f t="shared" si="2"/>
        <v>1.5089999999999999</v>
      </c>
      <c r="I19" s="281">
        <f t="shared" si="3"/>
        <v>1.2270000000000001</v>
      </c>
      <c r="J19" s="281">
        <f t="shared" si="4"/>
        <v>0.15</v>
      </c>
      <c r="K19" s="281">
        <f t="shared" si="5"/>
        <v>0.41</v>
      </c>
      <c r="L19" s="283">
        <f t="shared" si="6"/>
        <v>1.6589999999999998</v>
      </c>
      <c r="M19" s="284">
        <f t="shared" si="6"/>
        <v>1.637</v>
      </c>
    </row>
    <row r="20" spans="1:13" s="268" customFormat="1" ht="20.100000000000001" customHeight="1">
      <c r="A20" s="278"/>
      <c r="B20" s="275"/>
      <c r="C20" s="276"/>
      <c r="D20" s="276"/>
      <c r="E20" s="276"/>
      <c r="F20" s="277"/>
      <c r="G20" s="278"/>
      <c r="H20" s="286"/>
      <c r="I20" s="287"/>
      <c r="J20" s="287"/>
      <c r="K20" s="287"/>
      <c r="L20" s="287"/>
      <c r="M20" s="288"/>
    </row>
    <row r="21" spans="1:13" s="268" customFormat="1" ht="20.100000000000001" customHeight="1">
      <c r="A21" s="289" t="s">
        <v>244</v>
      </c>
      <c r="B21" s="290"/>
      <c r="C21" s="291"/>
      <c r="D21" s="291"/>
      <c r="E21" s="291"/>
      <c r="F21" s="292"/>
      <c r="G21" s="289">
        <f t="shared" ref="G21:M21" si="7">SUM(G9:G20)</f>
        <v>13</v>
      </c>
      <c r="H21" s="290">
        <f t="shared" si="7"/>
        <v>30.581000000000003</v>
      </c>
      <c r="I21" s="291">
        <f t="shared" si="7"/>
        <v>24.864000000000001</v>
      </c>
      <c r="J21" s="291">
        <f t="shared" si="7"/>
        <v>3.0199999999999996</v>
      </c>
      <c r="K21" s="291">
        <f t="shared" si="7"/>
        <v>8.3000000000000007</v>
      </c>
      <c r="L21" s="293">
        <f t="shared" si="7"/>
        <v>33.600999999999999</v>
      </c>
      <c r="M21" s="292">
        <f t="shared" si="7"/>
        <v>33.163999999999994</v>
      </c>
    </row>
    <row r="22" spans="1:13" s="268" customFormat="1" ht="20.100000000000001" customHeight="1">
      <c r="A22" s="294"/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5"/>
      <c r="M22" s="294"/>
    </row>
    <row r="23" spans="1:13" s="268" customFormat="1" ht="20.100000000000001" customHeight="1">
      <c r="A23" s="294"/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95"/>
      <c r="M23" s="294"/>
    </row>
    <row r="24" spans="1:13" s="268" customFormat="1" ht="20.100000000000001" customHeight="1">
      <c r="A24" s="296" t="s">
        <v>245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5"/>
      <c r="M24" s="294"/>
    </row>
    <row r="25" spans="1:13" s="297" customFormat="1" ht="20.100000000000001" customHeight="1">
      <c r="B25" s="298" t="s">
        <v>246</v>
      </c>
      <c r="M25" s="299"/>
    </row>
    <row r="26" spans="1:13" s="297" customFormat="1" ht="20.100000000000001" customHeight="1">
      <c r="B26" s="299">
        <v>1</v>
      </c>
      <c r="C26" s="299" t="s">
        <v>247</v>
      </c>
      <c r="D26" s="299"/>
      <c r="E26" s="299"/>
      <c r="F26" s="299"/>
      <c r="G26" s="297">
        <v>2</v>
      </c>
      <c r="H26" s="297" t="s">
        <v>105</v>
      </c>
      <c r="M26" s="299"/>
    </row>
    <row r="27" spans="1:13" s="297" customFormat="1" ht="20.100000000000001" customHeight="1">
      <c r="B27" s="299"/>
      <c r="C27" s="299" t="s">
        <v>248</v>
      </c>
      <c r="D27" s="299"/>
      <c r="E27" s="299"/>
      <c r="F27" s="299"/>
      <c r="H27" s="297" t="s">
        <v>249</v>
      </c>
      <c r="M27" s="299"/>
    </row>
    <row r="28" spans="1:13" s="297" customFormat="1" ht="20.100000000000001" customHeight="1">
      <c r="B28" s="299"/>
      <c r="C28" s="299" t="s">
        <v>250</v>
      </c>
      <c r="D28" s="299"/>
      <c r="E28" s="299"/>
      <c r="F28" s="299"/>
      <c r="H28" s="300" t="s">
        <v>251</v>
      </c>
      <c r="I28" s="294"/>
      <c r="J28" s="294"/>
      <c r="K28" s="294"/>
      <c r="L28" s="299"/>
      <c r="M28" s="299"/>
    </row>
    <row r="29" spans="1:13" s="297" customFormat="1" ht="20.100000000000001" customHeight="1">
      <c r="B29" s="299"/>
      <c r="C29" s="299" t="s">
        <v>252</v>
      </c>
      <c r="D29" s="299"/>
      <c r="E29" s="299"/>
      <c r="F29" s="299"/>
      <c r="H29" s="549"/>
      <c r="I29" s="549"/>
      <c r="J29" s="301"/>
      <c r="K29" s="300"/>
      <c r="L29" s="299"/>
      <c r="M29" s="299"/>
    </row>
    <row r="30" spans="1:13" s="297" customFormat="1" ht="20.100000000000001" customHeight="1">
      <c r="B30" s="299"/>
      <c r="C30" s="299" t="s">
        <v>253</v>
      </c>
      <c r="D30" s="299"/>
      <c r="E30" s="299"/>
      <c r="F30" s="299"/>
      <c r="H30" s="549"/>
      <c r="I30" s="549"/>
      <c r="J30" s="301"/>
      <c r="K30" s="300"/>
      <c r="L30" s="299"/>
      <c r="M30" s="299"/>
    </row>
    <row r="31" spans="1:13" s="268" customFormat="1" ht="20.100000000000001" customHeight="1">
      <c r="A31" s="297"/>
      <c r="B31" s="294"/>
      <c r="C31" s="299" t="s">
        <v>254</v>
      </c>
      <c r="D31" s="299"/>
      <c r="E31" s="294"/>
      <c r="F31" s="294"/>
      <c r="G31" s="264"/>
      <c r="H31" s="549"/>
      <c r="I31" s="549"/>
      <c r="J31" s="301"/>
      <c r="K31" s="300"/>
      <c r="L31" s="294"/>
      <c r="M31" s="302"/>
    </row>
    <row r="32" spans="1:13" s="268" customFormat="1" ht="20.100000000000001" customHeight="1">
      <c r="A32" s="297"/>
      <c r="B32" s="303" t="s">
        <v>255</v>
      </c>
      <c r="C32" s="304"/>
      <c r="D32" s="304"/>
      <c r="E32" s="305"/>
      <c r="F32" s="304"/>
      <c r="G32" s="306"/>
      <c r="H32" s="306"/>
      <c r="I32" s="306"/>
      <c r="J32" s="304"/>
      <c r="K32" s="304"/>
      <c r="L32" s="264"/>
      <c r="M32" s="302"/>
    </row>
    <row r="33" spans="1:13" s="268" customFormat="1" ht="20.100000000000001" customHeight="1">
      <c r="A33" s="297"/>
      <c r="B33" s="550" t="s">
        <v>256</v>
      </c>
      <c r="C33" s="551"/>
      <c r="D33" s="552" t="s">
        <v>257</v>
      </c>
      <c r="E33" s="553"/>
      <c r="F33" s="553"/>
      <c r="G33" s="553"/>
      <c r="H33" s="553"/>
      <c r="I33" s="553"/>
      <c r="J33" s="553"/>
      <c r="K33" s="554"/>
      <c r="L33" s="264"/>
      <c r="M33" s="302"/>
    </row>
    <row r="34" spans="1:13" s="268" customFormat="1" ht="20.100000000000001" customHeight="1">
      <c r="A34" s="297"/>
      <c r="B34" s="533" t="s">
        <v>106</v>
      </c>
      <c r="C34" s="534"/>
      <c r="D34" s="535" t="s">
        <v>107</v>
      </c>
      <c r="E34" s="536"/>
      <c r="F34" s="536"/>
      <c r="G34" s="536"/>
      <c r="H34" s="536"/>
      <c r="I34" s="536"/>
      <c r="J34" s="536"/>
      <c r="K34" s="537"/>
      <c r="L34" s="264"/>
      <c r="M34" s="302"/>
    </row>
    <row r="35" spans="1:13" s="268" customFormat="1" ht="20.100000000000001" customHeight="1">
      <c r="A35" s="297"/>
      <c r="B35" s="533" t="s">
        <v>108</v>
      </c>
      <c r="C35" s="534"/>
      <c r="D35" s="535" t="s">
        <v>109</v>
      </c>
      <c r="E35" s="536"/>
      <c r="F35" s="536"/>
      <c r="G35" s="536"/>
      <c r="H35" s="536"/>
      <c r="I35" s="536"/>
      <c r="J35" s="536"/>
      <c r="K35" s="537"/>
      <c r="L35" s="264"/>
      <c r="M35" s="302"/>
    </row>
    <row r="36" spans="1:13" s="268" customFormat="1" ht="20.100000000000001" customHeight="1">
      <c r="A36" s="297"/>
      <c r="B36" s="533" t="s">
        <v>110</v>
      </c>
      <c r="C36" s="534"/>
      <c r="D36" s="535" t="s">
        <v>111</v>
      </c>
      <c r="E36" s="536"/>
      <c r="F36" s="536"/>
      <c r="G36" s="536"/>
      <c r="H36" s="536"/>
      <c r="I36" s="536"/>
      <c r="J36" s="536"/>
      <c r="K36" s="537"/>
      <c r="L36" s="264"/>
      <c r="M36" s="302"/>
    </row>
    <row r="37" spans="1:13" s="268" customFormat="1" ht="20.100000000000001" customHeight="1">
      <c r="A37" s="297"/>
      <c r="B37" s="533" t="s">
        <v>112</v>
      </c>
      <c r="C37" s="534"/>
      <c r="D37" s="535" t="s">
        <v>113</v>
      </c>
      <c r="E37" s="536"/>
      <c r="F37" s="536"/>
      <c r="G37" s="536"/>
      <c r="H37" s="536"/>
      <c r="I37" s="536"/>
      <c r="J37" s="536"/>
      <c r="K37" s="537"/>
      <c r="L37" s="264"/>
      <c r="M37" s="302"/>
    </row>
    <row r="38" spans="1:13" s="268" customFormat="1" ht="20.100000000000001" customHeight="1">
      <c r="A38" s="297"/>
      <c r="B38" s="533" t="s">
        <v>114</v>
      </c>
      <c r="C38" s="534"/>
      <c r="D38" s="535" t="s">
        <v>115</v>
      </c>
      <c r="E38" s="536"/>
      <c r="F38" s="536"/>
      <c r="G38" s="536"/>
      <c r="H38" s="536"/>
      <c r="I38" s="536"/>
      <c r="J38" s="536"/>
      <c r="K38" s="537"/>
      <c r="L38" s="264"/>
      <c r="M38" s="302"/>
    </row>
    <row r="39" spans="1:13" s="268" customFormat="1" ht="20.100000000000001" customHeight="1">
      <c r="A39" s="297"/>
      <c r="B39" s="533" t="s">
        <v>116</v>
      </c>
      <c r="C39" s="534"/>
      <c r="D39" s="535" t="s">
        <v>117</v>
      </c>
      <c r="E39" s="536"/>
      <c r="F39" s="536"/>
      <c r="G39" s="536"/>
      <c r="H39" s="536"/>
      <c r="I39" s="536"/>
      <c r="J39" s="536"/>
      <c r="K39" s="537"/>
      <c r="L39" s="264"/>
      <c r="M39" s="302"/>
    </row>
    <row r="40" spans="1:13" s="268" customFormat="1" ht="20.100000000000001" customHeight="1">
      <c r="A40" s="297"/>
      <c r="B40" s="538" t="s">
        <v>118</v>
      </c>
      <c r="C40" s="539"/>
      <c r="D40" s="540" t="s">
        <v>119</v>
      </c>
      <c r="E40" s="541"/>
      <c r="F40" s="541"/>
      <c r="G40" s="541"/>
      <c r="H40" s="541"/>
      <c r="I40" s="541"/>
      <c r="J40" s="541"/>
      <c r="K40" s="542"/>
      <c r="L40" s="264"/>
      <c r="M40" s="302"/>
    </row>
    <row r="41" spans="1:13" s="268" customFormat="1" ht="19.5" customHeight="1">
      <c r="A41" s="297"/>
      <c r="B41" s="303" t="s">
        <v>258</v>
      </c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302"/>
    </row>
    <row r="42" spans="1:13" s="268" customFormat="1" ht="19.5" customHeight="1">
      <c r="A42" s="297"/>
      <c r="B42" s="527" t="s">
        <v>259</v>
      </c>
      <c r="C42" s="528"/>
      <c r="D42" s="307" t="s">
        <v>260</v>
      </c>
      <c r="E42" s="307" t="s">
        <v>261</v>
      </c>
      <c r="F42" s="307" t="s">
        <v>262</v>
      </c>
      <c r="G42" s="308" t="s">
        <v>263</v>
      </c>
      <c r="H42" s="264"/>
      <c r="I42" s="264"/>
      <c r="J42" s="264"/>
      <c r="K42" s="264"/>
      <c r="L42" s="264"/>
      <c r="M42" s="302"/>
    </row>
    <row r="43" spans="1:13" s="268" customFormat="1" ht="19.5" customHeight="1">
      <c r="A43" s="297"/>
      <c r="B43" s="529" t="s">
        <v>264</v>
      </c>
      <c r="C43" s="530"/>
      <c r="D43" s="309">
        <v>46</v>
      </c>
      <c r="E43" s="309">
        <v>17</v>
      </c>
      <c r="F43" s="309">
        <v>9</v>
      </c>
      <c r="G43" s="310">
        <v>28</v>
      </c>
      <c r="H43" s="264"/>
      <c r="I43" s="264"/>
      <c r="J43" s="264"/>
      <c r="K43" s="264"/>
      <c r="L43" s="264"/>
      <c r="M43" s="302"/>
    </row>
    <row r="44" spans="1:13" s="268" customFormat="1" ht="19.5" customHeight="1">
      <c r="A44" s="297"/>
      <c r="B44" s="531" t="s">
        <v>265</v>
      </c>
      <c r="C44" s="532"/>
      <c r="D44" s="311">
        <v>45</v>
      </c>
      <c r="E44" s="311">
        <v>17</v>
      </c>
      <c r="F44" s="311">
        <v>13</v>
      </c>
      <c r="G44" s="312">
        <v>25</v>
      </c>
      <c r="H44" s="264"/>
      <c r="I44" s="264"/>
      <c r="J44" s="264"/>
      <c r="K44" s="264"/>
      <c r="L44" s="264"/>
      <c r="M44" s="302"/>
    </row>
    <row r="45" spans="1:13" s="268" customFormat="1" ht="12">
      <c r="A45" s="297"/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302"/>
    </row>
  </sheetData>
  <mergeCells count="36">
    <mergeCell ref="A1:M1"/>
    <mergeCell ref="A4:A8"/>
    <mergeCell ref="B4:F4"/>
    <mergeCell ref="G4:G7"/>
    <mergeCell ref="H4:M4"/>
    <mergeCell ref="H5:I5"/>
    <mergeCell ref="J5:K5"/>
    <mergeCell ref="L5:M5"/>
    <mergeCell ref="H6:I6"/>
    <mergeCell ref="J6:K6"/>
    <mergeCell ref="B35:C35"/>
    <mergeCell ref="D35:K35"/>
    <mergeCell ref="L6:M6"/>
    <mergeCell ref="H7:I7"/>
    <mergeCell ref="J7:K7"/>
    <mergeCell ref="L7:M7"/>
    <mergeCell ref="H29:I29"/>
    <mergeCell ref="H30:I30"/>
    <mergeCell ref="H31:I31"/>
    <mergeCell ref="B33:C33"/>
    <mergeCell ref="D33:K33"/>
    <mergeCell ref="B34:C34"/>
    <mergeCell ref="D34:K34"/>
    <mergeCell ref="B36:C36"/>
    <mergeCell ref="D36:K36"/>
    <mergeCell ref="B37:C37"/>
    <mergeCell ref="D37:K37"/>
    <mergeCell ref="B38:C38"/>
    <mergeCell ref="D38:K38"/>
    <mergeCell ref="B42:C42"/>
    <mergeCell ref="B43:C43"/>
    <mergeCell ref="B44:C44"/>
    <mergeCell ref="B39:C39"/>
    <mergeCell ref="D39:K39"/>
    <mergeCell ref="B40:C40"/>
    <mergeCell ref="D40:K4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100"/>
  <sheetViews>
    <sheetView topLeftCell="A4" workbookViewId="0">
      <selection activeCell="L50" sqref="L50"/>
    </sheetView>
  </sheetViews>
  <sheetFormatPr defaultColWidth="10.42578125" defaultRowHeight="13.5"/>
  <cols>
    <col min="1" max="5" width="3" style="42" customWidth="1"/>
    <col min="6" max="6" width="5.42578125" style="42" customWidth="1"/>
    <col min="7" max="7" width="7" style="42" customWidth="1"/>
    <col min="8" max="8" width="6" style="42" customWidth="1"/>
    <col min="9" max="9" width="8.5703125" style="42" customWidth="1"/>
    <col min="10" max="10" width="9.5703125" style="42" customWidth="1"/>
    <col min="11" max="11" width="6.85546875" style="42" customWidth="1"/>
    <col min="12" max="12" width="7.42578125" style="42" customWidth="1"/>
    <col min="13" max="13" width="8" style="42" customWidth="1"/>
    <col min="14" max="14" width="4" style="42" customWidth="1"/>
    <col min="15" max="15" width="10.140625" style="42" customWidth="1"/>
    <col min="16" max="16" width="2.85546875" style="42" customWidth="1"/>
    <col min="17" max="19" width="11" style="42" customWidth="1"/>
    <col min="20" max="20" width="11.140625" style="42" customWidth="1"/>
    <col min="21" max="21" width="8.5703125" style="42" customWidth="1"/>
    <col min="22" max="23" width="9.85546875" style="42" customWidth="1"/>
    <col min="24" max="24" width="12.140625" style="42" customWidth="1"/>
    <col min="25" max="32" width="9.85546875" style="42" customWidth="1"/>
    <col min="33" max="16384" width="10.42578125" style="42"/>
  </cols>
  <sheetData>
    <row r="1" spans="1:28" ht="27" customHeight="1">
      <c r="A1" s="575" t="s">
        <v>267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40"/>
      <c r="W1" s="41" t="s">
        <v>268</v>
      </c>
    </row>
    <row r="2" spans="1:28" s="41" customFormat="1" ht="16.5" customHeight="1">
      <c r="A2" s="576" t="s">
        <v>269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</row>
    <row r="3" spans="1:28" s="41" customFormat="1" ht="24.95" customHeight="1">
      <c r="A3" s="577" t="s">
        <v>270</v>
      </c>
      <c r="B3" s="578"/>
      <c r="C3" s="578"/>
      <c r="D3" s="578"/>
      <c r="E3" s="579" t="s">
        <v>271</v>
      </c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43" t="s">
        <v>62</v>
      </c>
      <c r="R3" s="44" t="s">
        <v>41</v>
      </c>
      <c r="S3" s="44" t="s">
        <v>272</v>
      </c>
      <c r="T3" s="45" t="s">
        <v>38</v>
      </c>
      <c r="U3" s="46" t="s">
        <v>273</v>
      </c>
      <c r="W3" s="47" t="s">
        <v>274</v>
      </c>
      <c r="X3" s="47" t="s">
        <v>275</v>
      </c>
      <c r="Y3" s="48"/>
    </row>
    <row r="4" spans="1:28" s="48" customFormat="1" ht="24.95" customHeight="1">
      <c r="A4" s="581" t="s">
        <v>276</v>
      </c>
      <c r="B4" s="582"/>
      <c r="C4" s="582"/>
      <c r="D4" s="583"/>
      <c r="E4" s="587" t="s">
        <v>277</v>
      </c>
      <c r="F4" s="588"/>
      <c r="G4" s="588"/>
      <c r="H4" s="588"/>
      <c r="I4" s="588"/>
      <c r="J4" s="588"/>
      <c r="K4" s="588"/>
      <c r="L4" s="49"/>
      <c r="M4" s="50"/>
      <c r="N4" s="51"/>
      <c r="O4" s="52"/>
      <c r="P4" s="52"/>
      <c r="Q4" s="53"/>
      <c r="R4" s="54"/>
      <c r="S4" s="54"/>
      <c r="T4" s="55"/>
      <c r="U4" s="56"/>
      <c r="W4" s="47" t="s">
        <v>278</v>
      </c>
      <c r="X4" s="47" t="s">
        <v>279</v>
      </c>
    </row>
    <row r="5" spans="1:28" s="48" customFormat="1" ht="24.95" customHeight="1">
      <c r="A5" s="584"/>
      <c r="B5" s="585"/>
      <c r="C5" s="585"/>
      <c r="D5" s="586"/>
      <c r="E5" s="57" t="str">
        <f>"※ 수집목 평균경급 "&amp;Y14&amp;Z14&amp;",  조재 길이 "&amp;Y15&amp;Z15&amp;", 1회에 "&amp;Y16&amp;Z16&amp;" 상차 적용"</f>
        <v>※ 수집목 평균경급 20cm,  조재 길이 2.7m, 1회에 1개 상차 적용</v>
      </c>
      <c r="F5" s="58"/>
      <c r="G5" s="58"/>
      <c r="H5" s="58"/>
      <c r="I5" s="58"/>
      <c r="J5" s="58"/>
      <c r="K5" s="49"/>
      <c r="L5" s="58"/>
      <c r="M5" s="49"/>
      <c r="N5" s="51"/>
      <c r="O5" s="52"/>
      <c r="P5" s="52"/>
      <c r="Q5" s="53"/>
      <c r="R5" s="54"/>
      <c r="S5" s="54"/>
      <c r="T5" s="55"/>
      <c r="U5" s="56"/>
    </row>
    <row r="6" spans="1:28" s="48" customFormat="1" ht="24.95" customHeight="1">
      <c r="A6" s="589">
        <v>1</v>
      </c>
      <c r="B6" s="590"/>
      <c r="C6" s="590"/>
      <c r="D6" s="591"/>
      <c r="E6" s="59"/>
      <c r="F6" s="58" t="s">
        <v>280</v>
      </c>
      <c r="G6" s="60">
        <f>(Y14/2)/100</f>
        <v>0.1</v>
      </c>
      <c r="H6" s="61" t="str">
        <f>" × "&amp;G6&amp;" × 3.14 × "&amp;Y15&amp;"m × "&amp;Y16&amp;"EA ="</f>
        <v xml:space="preserve"> × 0.1 × 3.14 × 2.7m × 1EA =</v>
      </c>
      <c r="I6" s="58"/>
      <c r="J6" s="49"/>
      <c r="K6" s="62"/>
      <c r="L6" s="63">
        <f>INT((Y14/200)*(Y14/200)*3.14*Y15*Y16*100)/100</f>
        <v>0.08</v>
      </c>
      <c r="M6" s="49"/>
      <c r="N6" s="51"/>
      <c r="O6" s="52"/>
      <c r="P6" s="52"/>
      <c r="Q6" s="53"/>
      <c r="R6" s="54"/>
      <c r="S6" s="54"/>
      <c r="T6" s="55"/>
      <c r="U6" s="56"/>
    </row>
    <row r="7" spans="1:28" s="48" customFormat="1" ht="24.95" customHeight="1">
      <c r="A7" s="64"/>
      <c r="B7" s="65"/>
      <c r="C7" s="65"/>
      <c r="D7" s="66"/>
      <c r="E7" s="67" t="s">
        <v>281</v>
      </c>
      <c r="F7" s="68"/>
      <c r="G7" s="68"/>
      <c r="H7" s="68"/>
      <c r="I7" s="68"/>
      <c r="J7" s="68"/>
      <c r="K7" s="68"/>
      <c r="L7" s="68"/>
      <c r="M7" s="68"/>
      <c r="N7" s="69"/>
      <c r="O7" s="70"/>
      <c r="P7" s="52"/>
      <c r="Q7" s="53"/>
      <c r="R7" s="54"/>
      <c r="S7" s="54"/>
      <c r="T7" s="71"/>
      <c r="U7" s="72"/>
    </row>
    <row r="8" spans="1:28" s="48" customFormat="1" ht="24.95" customHeight="1">
      <c r="A8" s="592" t="s">
        <v>282</v>
      </c>
      <c r="B8" s="593"/>
      <c r="C8" s="593"/>
      <c r="D8" s="594"/>
      <c r="E8" s="73"/>
      <c r="F8" s="51" t="s">
        <v>283</v>
      </c>
      <c r="G8" s="74">
        <v>1.1000000000000001</v>
      </c>
      <c r="H8" s="75" t="s">
        <v>284</v>
      </c>
      <c r="I8" s="76">
        <v>1</v>
      </c>
      <c r="J8" s="75" t="s">
        <v>285</v>
      </c>
      <c r="K8" s="74">
        <v>0.9</v>
      </c>
      <c r="L8" s="69"/>
      <c r="M8" s="69"/>
      <c r="N8" s="52"/>
      <c r="O8" s="52"/>
      <c r="P8" s="52"/>
      <c r="Q8" s="53"/>
      <c r="R8" s="54"/>
      <c r="S8" s="54"/>
      <c r="T8" s="55"/>
      <c r="U8" s="56"/>
      <c r="W8" s="47"/>
      <c r="X8" s="47"/>
      <c r="Y8" s="47"/>
      <c r="Z8" s="47"/>
    </row>
    <row r="9" spans="1:28" s="48" customFormat="1" ht="24.95" customHeight="1">
      <c r="A9" s="595"/>
      <c r="B9" s="593"/>
      <c r="C9" s="593"/>
      <c r="D9" s="594"/>
      <c r="E9" s="73"/>
      <c r="F9" s="51" t="s">
        <v>286</v>
      </c>
      <c r="G9" s="77">
        <f>L6</f>
        <v>0.08</v>
      </c>
      <c r="H9" s="75" t="s">
        <v>287</v>
      </c>
      <c r="I9" s="78">
        <v>18</v>
      </c>
      <c r="J9" s="79" t="s">
        <v>288</v>
      </c>
      <c r="K9" s="51"/>
      <c r="L9" s="51"/>
      <c r="M9" s="51"/>
      <c r="N9" s="51"/>
      <c r="O9" s="52"/>
      <c r="P9" s="52"/>
      <c r="Q9" s="53"/>
      <c r="R9" s="54"/>
      <c r="S9" s="54"/>
      <c r="T9" s="80"/>
      <c r="U9" s="81"/>
      <c r="W9" s="82"/>
      <c r="X9" s="83"/>
      <c r="Y9" s="84"/>
      <c r="Z9" s="85"/>
    </row>
    <row r="10" spans="1:28" s="48" customFormat="1" ht="24.95" customHeight="1">
      <c r="A10" s="595"/>
      <c r="B10" s="593"/>
      <c r="C10" s="593"/>
      <c r="D10" s="594"/>
      <c r="E10" s="596"/>
      <c r="F10" s="597"/>
      <c r="G10" s="86"/>
      <c r="H10" s="87"/>
      <c r="I10" s="69"/>
      <c r="J10" s="86"/>
      <c r="K10" s="51"/>
      <c r="L10" s="51"/>
      <c r="M10" s="86"/>
      <c r="N10" s="51"/>
      <c r="O10" s="88"/>
      <c r="P10" s="52"/>
      <c r="Q10" s="53"/>
      <c r="R10" s="54"/>
      <c r="S10" s="54"/>
      <c r="T10" s="80"/>
      <c r="U10" s="81"/>
      <c r="W10" s="82"/>
      <c r="X10" s="83"/>
      <c r="Y10" s="83"/>
      <c r="Z10" s="85"/>
    </row>
    <row r="11" spans="1:28" s="48" customFormat="1" ht="24.95" customHeight="1">
      <c r="A11" s="89"/>
      <c r="B11" s="70"/>
      <c r="C11" s="70"/>
      <c r="D11" s="90"/>
      <c r="E11" s="73" t="s">
        <v>289</v>
      </c>
      <c r="F11" s="69"/>
      <c r="G11" s="69"/>
      <c r="H11" s="69"/>
      <c r="I11" s="69"/>
      <c r="J11" s="69"/>
      <c r="K11" s="69"/>
      <c r="L11" s="69"/>
      <c r="M11" s="69"/>
      <c r="N11" s="51"/>
      <c r="O11" s="52"/>
      <c r="P11" s="52"/>
      <c r="Q11" s="53"/>
      <c r="R11" s="54"/>
      <c r="S11" s="54"/>
      <c r="T11" s="80"/>
      <c r="U11" s="81"/>
      <c r="W11" s="82"/>
      <c r="X11" s="91"/>
      <c r="Y11" s="92"/>
      <c r="Z11" s="93"/>
    </row>
    <row r="12" spans="1:28" s="48" customFormat="1" ht="24.95" customHeight="1">
      <c r="A12" s="89"/>
      <c r="B12" s="70"/>
      <c r="C12" s="70"/>
      <c r="D12" s="90"/>
      <c r="E12" s="94"/>
      <c r="F12" s="75" t="s">
        <v>290</v>
      </c>
      <c r="G12" s="95" t="s">
        <v>291</v>
      </c>
      <c r="H12" s="86"/>
      <c r="I12" s="96"/>
      <c r="J12" s="86"/>
      <c r="K12" s="96"/>
      <c r="L12" s="600">
        <f>INT(3600*G9*G8*I8*K8)/I9</f>
        <v>15.833333333333334</v>
      </c>
      <c r="M12" s="600"/>
      <c r="N12" s="51" t="s">
        <v>292</v>
      </c>
      <c r="O12" s="69"/>
      <c r="P12" s="52"/>
      <c r="Q12" s="53"/>
      <c r="R12" s="54"/>
      <c r="S12" s="54"/>
      <c r="T12" s="80"/>
      <c r="U12" s="81"/>
      <c r="W12" s="598" t="s">
        <v>293</v>
      </c>
      <c r="X12" s="598"/>
      <c r="Y12" s="598"/>
      <c r="Z12" s="598"/>
    </row>
    <row r="13" spans="1:28" s="48" customFormat="1" ht="24.95" customHeight="1">
      <c r="A13" s="89"/>
      <c r="B13" s="70"/>
      <c r="C13" s="70"/>
      <c r="D13" s="90"/>
      <c r="E13" s="73"/>
      <c r="F13" s="51"/>
      <c r="G13" s="51"/>
      <c r="H13" s="51"/>
      <c r="I13" s="51"/>
      <c r="J13" s="51"/>
      <c r="K13" s="51"/>
      <c r="L13" s="51"/>
      <c r="M13" s="51"/>
      <c r="N13" s="51"/>
      <c r="O13" s="52"/>
      <c r="P13" s="52"/>
      <c r="Q13" s="53"/>
      <c r="R13" s="54"/>
      <c r="S13" s="54"/>
      <c r="T13" s="80"/>
      <c r="U13" s="81"/>
      <c r="W13" s="599"/>
      <c r="X13" s="599"/>
      <c r="Y13" s="599"/>
      <c r="Z13" s="599"/>
    </row>
    <row r="14" spans="1:28" s="48" customFormat="1" ht="24.95" customHeight="1">
      <c r="A14" s="89"/>
      <c r="B14" s="70"/>
      <c r="C14" s="70"/>
      <c r="D14" s="90"/>
      <c r="E14" s="73" t="s">
        <v>294</v>
      </c>
      <c r="F14" s="51"/>
      <c r="G14" s="51"/>
      <c r="H14" s="51"/>
      <c r="I14" s="51"/>
      <c r="J14" s="51"/>
      <c r="K14" s="51"/>
      <c r="L14" s="51"/>
      <c r="M14" s="51"/>
      <c r="N14" s="51"/>
      <c r="O14" s="52"/>
      <c r="P14" s="52"/>
      <c r="Q14" s="53"/>
      <c r="R14" s="54"/>
      <c r="S14" s="54"/>
      <c r="T14" s="80"/>
      <c r="U14" s="81"/>
      <c r="W14" s="97"/>
      <c r="X14" s="98" t="s">
        <v>295</v>
      </c>
      <c r="Y14" s="99">
        <v>20</v>
      </c>
      <c r="Z14" s="100" t="s">
        <v>296</v>
      </c>
      <c r="AB14" s="101">
        <v>22</v>
      </c>
    </row>
    <row r="15" spans="1:28" s="48" customFormat="1" ht="24.95" customHeight="1">
      <c r="A15" s="89"/>
      <c r="B15" s="70"/>
      <c r="C15" s="70"/>
      <c r="D15" s="90"/>
      <c r="E15" s="73"/>
      <c r="F15" s="51" t="s">
        <v>297</v>
      </c>
      <c r="G15" s="51"/>
      <c r="H15" s="51"/>
      <c r="I15" s="102">
        <v>42267</v>
      </c>
      <c r="J15" s="86" t="s">
        <v>298</v>
      </c>
      <c r="K15" s="96">
        <f>L12</f>
        <v>15.833333333333334</v>
      </c>
      <c r="L15" s="86"/>
      <c r="M15" s="103"/>
      <c r="N15" s="75" t="s">
        <v>299</v>
      </c>
      <c r="O15" s="104">
        <f>IFERROR(INT(I15/K15),0)</f>
        <v>2669</v>
      </c>
      <c r="P15" s="52" t="s">
        <v>152</v>
      </c>
      <c r="Q15" s="105">
        <f>+O15</f>
        <v>2669</v>
      </c>
      <c r="R15" s="106"/>
      <c r="S15" s="106"/>
      <c r="T15" s="107">
        <f>ROUNDDOWN(Q15+R15+S15,1)</f>
        <v>2669</v>
      </c>
      <c r="U15" s="81"/>
      <c r="W15" s="108"/>
      <c r="X15" s="109" t="s">
        <v>300</v>
      </c>
      <c r="Y15" s="109">
        <v>2.7</v>
      </c>
      <c r="Z15" s="110" t="s">
        <v>301</v>
      </c>
    </row>
    <row r="16" spans="1:28" s="48" customFormat="1" ht="24.95" customHeight="1">
      <c r="A16" s="89"/>
      <c r="B16" s="70"/>
      <c r="C16" s="70"/>
      <c r="D16" s="90"/>
      <c r="E16" s="73"/>
      <c r="F16" s="51" t="s">
        <v>302</v>
      </c>
      <c r="G16" s="51"/>
      <c r="H16" s="51"/>
      <c r="I16" s="102">
        <v>7598</v>
      </c>
      <c r="J16" s="86" t="s">
        <v>298</v>
      </c>
      <c r="K16" s="96">
        <f>L12</f>
        <v>15.833333333333334</v>
      </c>
      <c r="L16" s="86"/>
      <c r="M16" s="103"/>
      <c r="N16" s="75" t="s">
        <v>299</v>
      </c>
      <c r="O16" s="104">
        <f>IFERROR(INT(I16/K16),0)</f>
        <v>479</v>
      </c>
      <c r="P16" s="52" t="s">
        <v>152</v>
      </c>
      <c r="Q16" s="105"/>
      <c r="R16" s="106">
        <f>+O16</f>
        <v>479</v>
      </c>
      <c r="S16" s="106"/>
      <c r="T16" s="107">
        <f>ROUNDDOWN(Q16+R16+S16,1)</f>
        <v>479</v>
      </c>
      <c r="U16" s="81"/>
      <c r="W16" s="111"/>
      <c r="X16" s="112" t="s">
        <v>303</v>
      </c>
      <c r="Y16" s="113">
        <v>1</v>
      </c>
      <c r="Z16" s="114" t="s">
        <v>304</v>
      </c>
    </row>
    <row r="17" spans="1:34" s="48" customFormat="1" ht="24.95" customHeight="1">
      <c r="A17" s="89"/>
      <c r="B17" s="70"/>
      <c r="C17" s="70"/>
      <c r="D17" s="90"/>
      <c r="E17" s="73"/>
      <c r="F17" s="51" t="s">
        <v>305</v>
      </c>
      <c r="G17" s="51"/>
      <c r="H17" s="51"/>
      <c r="I17" s="102">
        <v>15515</v>
      </c>
      <c r="J17" s="86" t="s">
        <v>298</v>
      </c>
      <c r="K17" s="96">
        <f>L12</f>
        <v>15.833333333333334</v>
      </c>
      <c r="L17" s="86"/>
      <c r="M17" s="103"/>
      <c r="N17" s="75" t="s">
        <v>299</v>
      </c>
      <c r="O17" s="104">
        <f>IFERROR(INT(I17/K17),0)</f>
        <v>979</v>
      </c>
      <c r="P17" s="52" t="s">
        <v>152</v>
      </c>
      <c r="Q17" s="105"/>
      <c r="R17" s="106"/>
      <c r="S17" s="106">
        <f>+O17</f>
        <v>979</v>
      </c>
      <c r="T17" s="107">
        <f>ROUNDDOWN(Q17+R17+S17,1)</f>
        <v>979</v>
      </c>
      <c r="U17" s="81"/>
      <c r="W17" s="115"/>
      <c r="X17" s="116"/>
      <c r="Y17" s="41"/>
    </row>
    <row r="18" spans="1:34" s="48" customFormat="1" ht="24.95" customHeight="1">
      <c r="A18" s="89"/>
      <c r="B18" s="70"/>
      <c r="C18" s="70"/>
      <c r="D18" s="90"/>
      <c r="E18" s="73"/>
      <c r="F18" s="51"/>
      <c r="G18" s="51"/>
      <c r="H18" s="51"/>
      <c r="I18" s="51"/>
      <c r="J18" s="51"/>
      <c r="K18" s="51"/>
      <c r="L18" s="51"/>
      <c r="M18" s="51"/>
      <c r="N18" s="51"/>
      <c r="O18" s="117"/>
      <c r="P18" s="52"/>
      <c r="Q18" s="53"/>
      <c r="R18" s="54"/>
      <c r="S18" s="54"/>
      <c r="T18" s="118"/>
      <c r="U18" s="81"/>
    </row>
    <row r="19" spans="1:34" s="48" customFormat="1" ht="24.95" customHeight="1">
      <c r="A19" s="89"/>
      <c r="B19" s="70"/>
      <c r="C19" s="70"/>
      <c r="D19" s="90"/>
      <c r="E19" s="119"/>
      <c r="F19" s="120" t="s">
        <v>306</v>
      </c>
      <c r="G19" s="121"/>
      <c r="H19" s="120"/>
      <c r="I19" s="120"/>
      <c r="J19" s="120"/>
      <c r="K19" s="120"/>
      <c r="L19" s="120"/>
      <c r="M19" s="120"/>
      <c r="N19" s="120"/>
      <c r="O19" s="122"/>
      <c r="P19" s="123"/>
      <c r="Q19" s="124">
        <f>ROUNDDOWN(SUM(Q15:Q18),0)</f>
        <v>2669</v>
      </c>
      <c r="R19" s="125">
        <f>ROUNDDOWN(SUM(R15:R18),0)</f>
        <v>479</v>
      </c>
      <c r="S19" s="125">
        <f>ROUNDDOWN(SUM(S15:S18),0)</f>
        <v>979</v>
      </c>
      <c r="T19" s="126">
        <f>Q19+R19+S19</f>
        <v>4127</v>
      </c>
      <c r="U19" s="127"/>
    </row>
    <row r="20" spans="1:34" s="48" customFormat="1" ht="24.95" customHeight="1">
      <c r="A20" s="89"/>
      <c r="B20" s="70"/>
      <c r="C20" s="70"/>
      <c r="D20" s="90"/>
      <c r="E20" s="128"/>
      <c r="F20" s="129"/>
      <c r="G20" s="103"/>
      <c r="H20" s="130"/>
      <c r="I20" s="131"/>
      <c r="J20" s="51"/>
      <c r="K20" s="51"/>
      <c r="L20" s="51"/>
      <c r="M20" s="51"/>
      <c r="N20" s="51"/>
      <c r="O20" s="117"/>
      <c r="P20" s="52"/>
      <c r="Q20" s="53"/>
      <c r="R20" s="54"/>
      <c r="S20" s="54"/>
      <c r="T20" s="80"/>
      <c r="U20" s="81"/>
    </row>
    <row r="21" spans="1:34" s="48" customFormat="1" ht="24.95" hidden="1" customHeight="1">
      <c r="A21" s="89"/>
      <c r="B21" s="70"/>
      <c r="C21" s="70"/>
      <c r="D21" s="90"/>
      <c r="E21" s="128"/>
      <c r="F21" s="51"/>
      <c r="G21" s="51"/>
      <c r="H21" s="69"/>
      <c r="I21" s="132"/>
      <c r="J21" s="103"/>
      <c r="K21" s="96"/>
      <c r="L21" s="69"/>
      <c r="M21" s="51"/>
      <c r="N21" s="75"/>
      <c r="O21" s="104"/>
      <c r="P21" s="52"/>
      <c r="Q21" s="53"/>
      <c r="R21" s="106"/>
      <c r="S21" s="133"/>
      <c r="T21" s="80"/>
      <c r="U21" s="81"/>
    </row>
    <row r="22" spans="1:34" s="48" customFormat="1" ht="24.95" customHeight="1">
      <c r="A22" s="89"/>
      <c r="B22" s="70"/>
      <c r="C22" s="70"/>
      <c r="D22" s="90"/>
      <c r="E22" s="73"/>
      <c r="F22" s="51"/>
      <c r="G22" s="86"/>
      <c r="H22" s="51"/>
      <c r="I22" s="51"/>
      <c r="J22" s="51"/>
      <c r="K22" s="51"/>
      <c r="L22" s="51"/>
      <c r="M22" s="51"/>
      <c r="N22" s="51"/>
      <c r="O22" s="117"/>
      <c r="P22" s="52"/>
      <c r="Q22" s="53"/>
      <c r="R22" s="54"/>
      <c r="S22" s="54"/>
      <c r="T22" s="80"/>
      <c r="U22" s="81"/>
    </row>
    <row r="23" spans="1:34" s="48" customFormat="1" ht="24.95" customHeight="1">
      <c r="A23" s="134"/>
      <c r="B23" s="135"/>
      <c r="C23" s="135"/>
      <c r="D23" s="136"/>
      <c r="E23" s="137"/>
      <c r="F23" s="138"/>
      <c r="G23" s="139"/>
      <c r="H23" s="138"/>
      <c r="I23" s="138"/>
      <c r="J23" s="138"/>
      <c r="K23" s="138"/>
      <c r="L23" s="138"/>
      <c r="M23" s="138"/>
      <c r="N23" s="138"/>
      <c r="O23" s="140"/>
      <c r="P23" s="141"/>
      <c r="Q23" s="142"/>
      <c r="R23" s="143"/>
      <c r="S23" s="143"/>
      <c r="T23" s="144"/>
      <c r="U23" s="145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</row>
    <row r="24" spans="1:34" s="41" customFormat="1" ht="24.95" customHeight="1">
      <c r="A24" s="577" t="s">
        <v>270</v>
      </c>
      <c r="B24" s="578"/>
      <c r="C24" s="578"/>
      <c r="D24" s="578"/>
      <c r="E24" s="579" t="s">
        <v>271</v>
      </c>
      <c r="F24" s="580"/>
      <c r="G24" s="580"/>
      <c r="H24" s="580"/>
      <c r="I24" s="580"/>
      <c r="J24" s="580"/>
      <c r="K24" s="580"/>
      <c r="L24" s="580"/>
      <c r="M24" s="580"/>
      <c r="N24" s="580"/>
      <c r="O24" s="580"/>
      <c r="P24" s="580"/>
      <c r="Q24" s="43" t="s">
        <v>62</v>
      </c>
      <c r="R24" s="44" t="s">
        <v>41</v>
      </c>
      <c r="S24" s="44" t="s">
        <v>272</v>
      </c>
      <c r="T24" s="45" t="s">
        <v>38</v>
      </c>
      <c r="U24" s="46" t="s">
        <v>273</v>
      </c>
      <c r="W24" s="47"/>
      <c r="X24" s="47"/>
      <c r="Y24" s="48"/>
    </row>
    <row r="25" spans="1:34" s="41" customFormat="1" ht="24.95" customHeight="1">
      <c r="A25" s="581" t="s">
        <v>307</v>
      </c>
      <c r="B25" s="582"/>
      <c r="C25" s="582"/>
      <c r="D25" s="583"/>
      <c r="E25" s="147" t="s">
        <v>308</v>
      </c>
      <c r="F25" s="148"/>
      <c r="G25" s="149"/>
      <c r="H25" s="150">
        <v>5</v>
      </c>
      <c r="I25" s="148" t="s">
        <v>309</v>
      </c>
      <c r="J25" s="148"/>
      <c r="K25" s="148"/>
      <c r="L25" s="148"/>
      <c r="M25" s="148"/>
      <c r="N25" s="148"/>
      <c r="O25" s="151"/>
      <c r="P25" s="151"/>
      <c r="Q25" s="152"/>
      <c r="R25" s="153"/>
      <c r="S25" s="153"/>
      <c r="T25" s="154"/>
      <c r="U25" s="155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</row>
    <row r="26" spans="1:34" s="41" customFormat="1" ht="12.6" customHeight="1">
      <c r="A26" s="584"/>
      <c r="B26" s="585"/>
      <c r="C26" s="585"/>
      <c r="D26" s="586"/>
      <c r="E26" s="607" t="s">
        <v>310</v>
      </c>
      <c r="F26" s="605" t="s">
        <v>311</v>
      </c>
      <c r="G26" s="605"/>
      <c r="H26" s="608" t="s">
        <v>312</v>
      </c>
      <c r="I26" s="604">
        <f>L26</f>
        <v>0.3</v>
      </c>
      <c r="J26" s="605" t="s">
        <v>313</v>
      </c>
      <c r="K26" s="156" t="s">
        <v>314</v>
      </c>
      <c r="L26" s="157">
        <v>0.3</v>
      </c>
      <c r="M26" s="48" t="s">
        <v>315</v>
      </c>
      <c r="N26" s="158"/>
      <c r="O26" s="601" t="s">
        <v>316</v>
      </c>
      <c r="P26" s="159"/>
      <c r="Q26" s="53"/>
      <c r="R26" s="54"/>
      <c r="S26" s="54"/>
      <c r="T26" s="118"/>
      <c r="U26" s="160"/>
      <c r="V26" s="48"/>
      <c r="W26" s="48" t="s">
        <v>317</v>
      </c>
      <c r="X26" s="48" t="s">
        <v>318</v>
      </c>
      <c r="Y26" s="48"/>
      <c r="Z26" s="48"/>
      <c r="AA26" s="48"/>
      <c r="AB26" s="48"/>
      <c r="AC26" s="48"/>
      <c r="AD26" s="48"/>
      <c r="AE26" s="48"/>
      <c r="AF26" s="48"/>
    </row>
    <row r="27" spans="1:34" s="41" customFormat="1" ht="12.6" customHeight="1">
      <c r="A27" s="589">
        <v>5</v>
      </c>
      <c r="B27" s="590"/>
      <c r="C27" s="590"/>
      <c r="D27" s="591"/>
      <c r="E27" s="607"/>
      <c r="F27" s="605"/>
      <c r="G27" s="605"/>
      <c r="H27" s="608"/>
      <c r="I27" s="604"/>
      <c r="J27" s="605"/>
      <c r="K27" s="149" t="s">
        <v>319</v>
      </c>
      <c r="L27" s="161">
        <v>7</v>
      </c>
      <c r="M27" s="162" t="s">
        <v>320</v>
      </c>
      <c r="N27" s="149"/>
      <c r="O27" s="601"/>
      <c r="P27" s="52"/>
      <c r="Q27" s="53"/>
      <c r="R27" s="54"/>
      <c r="S27" s="54"/>
      <c r="T27" s="118"/>
      <c r="U27" s="160"/>
      <c r="V27" s="48"/>
      <c r="W27" s="48" t="s">
        <v>278</v>
      </c>
      <c r="X27" s="48" t="s">
        <v>321</v>
      </c>
      <c r="Y27" s="48"/>
      <c r="Z27" s="48"/>
      <c r="AA27" s="48"/>
      <c r="AB27" s="48"/>
      <c r="AC27" s="48"/>
      <c r="AD27" s="48"/>
      <c r="AE27" s="48"/>
      <c r="AF27" s="48"/>
    </row>
    <row r="28" spans="1:34" s="41" customFormat="1" ht="12.6" customHeight="1">
      <c r="A28" s="163"/>
      <c r="B28" s="47"/>
      <c r="C28" s="47"/>
      <c r="D28" s="164"/>
      <c r="E28" s="165"/>
      <c r="F28" s="166"/>
      <c r="G28" s="166"/>
      <c r="H28" s="167"/>
      <c r="I28" s="168"/>
      <c r="J28" s="166"/>
      <c r="K28" s="156" t="s">
        <v>322</v>
      </c>
      <c r="L28" s="169">
        <v>8</v>
      </c>
      <c r="M28" s="47" t="s">
        <v>323</v>
      </c>
      <c r="N28" s="156"/>
      <c r="O28" s="170"/>
      <c r="P28" s="52"/>
      <c r="Q28" s="53"/>
      <c r="R28" s="54"/>
      <c r="S28" s="54"/>
      <c r="T28" s="118"/>
      <c r="U28" s="160"/>
      <c r="V28" s="48"/>
      <c r="W28" s="48"/>
      <c r="X28" s="48"/>
      <c r="Y28" s="48"/>
      <c r="Z28" s="602" t="s">
        <v>408</v>
      </c>
      <c r="AA28" s="602"/>
      <c r="AB28" s="171" t="s">
        <v>409</v>
      </c>
      <c r="AC28" s="171"/>
      <c r="AD28" s="171"/>
      <c r="AE28" s="171"/>
      <c r="AF28" s="48"/>
    </row>
    <row r="29" spans="1:34" s="41" customFormat="1" ht="24.95" customHeight="1">
      <c r="A29" s="592" t="s">
        <v>282</v>
      </c>
      <c r="B29" s="593"/>
      <c r="C29" s="593"/>
      <c r="D29" s="594"/>
      <c r="E29" s="165" t="s">
        <v>324</v>
      </c>
      <c r="F29" s="159" t="s">
        <v>325</v>
      </c>
      <c r="G29" s="172"/>
      <c r="H29" s="156" t="s">
        <v>326</v>
      </c>
      <c r="I29" s="173">
        <v>0.2</v>
      </c>
      <c r="J29" s="159" t="s">
        <v>327</v>
      </c>
      <c r="K29" s="159"/>
      <c r="L29" s="156"/>
      <c r="M29" s="159"/>
      <c r="N29" s="52"/>
      <c r="O29" s="48"/>
      <c r="P29" s="48"/>
      <c r="Q29" s="53"/>
      <c r="R29" s="54"/>
      <c r="S29" s="54"/>
      <c r="T29" s="118"/>
      <c r="U29" s="160"/>
      <c r="V29" s="48"/>
      <c r="W29" s="48"/>
      <c r="X29" s="48"/>
      <c r="Y29" s="48"/>
      <c r="Z29" s="174" t="s">
        <v>410</v>
      </c>
      <c r="AA29" s="174" t="s">
        <v>411</v>
      </c>
      <c r="AB29" s="175"/>
      <c r="AC29" s="175"/>
      <c r="AD29" s="175"/>
      <c r="AE29" s="176" t="s">
        <v>412</v>
      </c>
      <c r="AF29" s="48"/>
    </row>
    <row r="30" spans="1:34" s="41" customFormat="1" ht="24.95" customHeight="1">
      <c r="A30" s="595"/>
      <c r="B30" s="593"/>
      <c r="C30" s="593"/>
      <c r="D30" s="594"/>
      <c r="E30" s="177" t="s">
        <v>328</v>
      </c>
      <c r="F30" s="48" t="s">
        <v>329</v>
      </c>
      <c r="G30" s="48"/>
      <c r="H30" s="48" t="s">
        <v>330</v>
      </c>
      <c r="I30" s="178">
        <f>O31+O36+O37+O38+O39</f>
        <v>36.08</v>
      </c>
      <c r="J30" s="48"/>
      <c r="K30" s="167" t="s">
        <v>331</v>
      </c>
      <c r="L30" s="179">
        <v>1</v>
      </c>
      <c r="M30" s="167" t="s">
        <v>332</v>
      </c>
      <c r="N30" s="48"/>
      <c r="O30" s="180">
        <v>0.9</v>
      </c>
      <c r="P30" s="48"/>
      <c r="Q30" s="53"/>
      <c r="R30" s="54"/>
      <c r="S30" s="54"/>
      <c r="T30" s="118"/>
      <c r="U30" s="160"/>
      <c r="V30" s="48"/>
      <c r="W30" s="48"/>
      <c r="X30" s="48"/>
      <c r="Y30" s="181" t="s">
        <v>333</v>
      </c>
      <c r="Z30" s="182">
        <v>7</v>
      </c>
      <c r="AA30" s="182">
        <v>8</v>
      </c>
      <c r="AB30" s="183" t="s">
        <v>413</v>
      </c>
      <c r="AC30" s="48"/>
      <c r="AD30" s="48"/>
      <c r="AE30" s="48"/>
      <c r="AF30" s="48"/>
    </row>
    <row r="31" spans="1:34" s="41" customFormat="1" ht="24.95" customHeight="1">
      <c r="A31" s="595"/>
      <c r="B31" s="593"/>
      <c r="C31" s="593"/>
      <c r="D31" s="594"/>
      <c r="E31" s="165"/>
      <c r="F31" s="166" t="s">
        <v>334</v>
      </c>
      <c r="G31" s="184" t="s">
        <v>335</v>
      </c>
      <c r="H31" s="167"/>
      <c r="I31" s="172" t="s">
        <v>336</v>
      </c>
      <c r="J31" s="87" t="s">
        <v>337</v>
      </c>
      <c r="K31" s="166"/>
      <c r="L31" s="167"/>
      <c r="M31" s="166"/>
      <c r="N31" s="166" t="s">
        <v>338</v>
      </c>
      <c r="O31" s="185">
        <f>INT((I32*M32)/(60*I33)*100)/100</f>
        <v>30.04</v>
      </c>
      <c r="P31" s="159" t="s">
        <v>339</v>
      </c>
      <c r="Q31" s="53"/>
      <c r="R31" s="54"/>
      <c r="S31" s="54"/>
      <c r="T31" s="118"/>
      <c r="U31" s="160"/>
      <c r="V31" s="48"/>
      <c r="W31" s="48"/>
      <c r="X31" s="48"/>
      <c r="Y31" s="177"/>
      <c r="Z31" s="167">
        <v>10</v>
      </c>
      <c r="AA31" s="167">
        <v>15</v>
      </c>
      <c r="AB31" s="48" t="s">
        <v>414</v>
      </c>
      <c r="AC31" s="48"/>
      <c r="AD31" s="48"/>
      <c r="AE31" s="48"/>
      <c r="AF31" s="48"/>
    </row>
    <row r="32" spans="1:34" s="41" customFormat="1" ht="24.95" customHeight="1" thickBot="1">
      <c r="A32" s="163"/>
      <c r="B32" s="47"/>
      <c r="C32" s="47"/>
      <c r="D32" s="164"/>
      <c r="E32" s="186"/>
      <c r="F32" s="159"/>
      <c r="G32" s="187"/>
      <c r="H32" s="188" t="s">
        <v>340</v>
      </c>
      <c r="I32" s="189">
        <v>15</v>
      </c>
      <c r="J32" s="190" t="s">
        <v>341</v>
      </c>
      <c r="K32" s="191" t="s">
        <v>342</v>
      </c>
      <c r="L32" s="184"/>
      <c r="M32" s="191">
        <f>INT(O33/(M34*M35)*100)/100</f>
        <v>78.12</v>
      </c>
      <c r="N32" s="48"/>
      <c r="O32" s="190"/>
      <c r="P32" s="52"/>
      <c r="Q32" s="53"/>
      <c r="R32" s="54"/>
      <c r="S32" s="54"/>
      <c r="T32" s="118"/>
      <c r="U32" s="160"/>
      <c r="V32" s="48"/>
      <c r="W32" s="48"/>
      <c r="X32" s="48"/>
      <c r="Y32" s="181" t="s">
        <v>333</v>
      </c>
      <c r="Z32" s="182">
        <v>15</v>
      </c>
      <c r="AA32" s="182">
        <v>20</v>
      </c>
      <c r="AB32" s="183" t="s">
        <v>415</v>
      </c>
      <c r="AC32" s="48"/>
      <c r="AD32" s="48"/>
      <c r="AE32" s="48"/>
      <c r="AF32" s="48"/>
    </row>
    <row r="33" spans="1:34" s="41" customFormat="1" ht="24.95" customHeight="1">
      <c r="A33" s="163"/>
      <c r="B33" s="47"/>
      <c r="C33" s="47"/>
      <c r="D33" s="164"/>
      <c r="E33" s="186"/>
      <c r="F33" s="159"/>
      <c r="G33" s="191"/>
      <c r="H33" s="188" t="s">
        <v>343</v>
      </c>
      <c r="I33" s="189">
        <v>0.65</v>
      </c>
      <c r="J33" s="190"/>
      <c r="K33" s="192" t="s">
        <v>344</v>
      </c>
      <c r="L33" s="48"/>
      <c r="M33" s="48"/>
      <c r="N33" s="166" t="s">
        <v>338</v>
      </c>
      <c r="O33" s="193">
        <f>(A27/X33)*1</f>
        <v>6.25</v>
      </c>
      <c r="P33" s="52"/>
      <c r="Q33" s="53"/>
      <c r="R33" s="54"/>
      <c r="S33" s="54"/>
      <c r="T33" s="118"/>
      <c r="U33" s="160"/>
      <c r="V33" s="48"/>
      <c r="W33" s="194" t="s">
        <v>345</v>
      </c>
      <c r="X33" s="195">
        <v>0.8</v>
      </c>
      <c r="Y33" s="177"/>
      <c r="Z33" s="167">
        <v>30</v>
      </c>
      <c r="AA33" s="167">
        <v>35</v>
      </c>
      <c r="AB33" s="48" t="s">
        <v>416</v>
      </c>
      <c r="AC33" s="48"/>
      <c r="AD33" s="48"/>
      <c r="AE33" s="48"/>
      <c r="AF33" s="48"/>
    </row>
    <row r="34" spans="1:34" s="41" customFormat="1" ht="24.95" customHeight="1" thickBot="1">
      <c r="A34" s="163"/>
      <c r="B34" s="47"/>
      <c r="C34" s="47"/>
      <c r="D34" s="164"/>
      <c r="E34" s="186"/>
      <c r="F34" s="159"/>
      <c r="G34" s="191"/>
      <c r="H34" s="188"/>
      <c r="I34" s="188"/>
      <c r="J34" s="196"/>
      <c r="K34" s="192" t="s">
        <v>346</v>
      </c>
      <c r="L34" s="48"/>
      <c r="M34" s="197">
        <v>0.08</v>
      </c>
      <c r="N34" s="191"/>
      <c r="O34" s="177"/>
      <c r="P34" s="52"/>
      <c r="Q34" s="53"/>
      <c r="R34" s="54"/>
      <c r="S34" s="54"/>
      <c r="T34" s="118"/>
      <c r="U34" s="160"/>
      <c r="V34" s="48"/>
      <c r="W34" s="198" t="s">
        <v>347</v>
      </c>
      <c r="X34" s="199"/>
      <c r="Y34" s="177"/>
      <c r="Z34" s="167">
        <v>20</v>
      </c>
      <c r="AA34" s="167">
        <v>25</v>
      </c>
      <c r="AB34" s="48" t="s">
        <v>417</v>
      </c>
      <c r="AC34" s="48"/>
      <c r="AD34" s="48"/>
      <c r="AE34" s="48"/>
      <c r="AF34" s="48"/>
    </row>
    <row r="35" spans="1:34" s="41" customFormat="1" ht="24.95" customHeight="1">
      <c r="A35" s="163"/>
      <c r="B35" s="47"/>
      <c r="C35" s="47"/>
      <c r="D35" s="164"/>
      <c r="E35" s="186"/>
      <c r="F35" s="159"/>
      <c r="G35" s="191"/>
      <c r="H35" s="188"/>
      <c r="I35" s="188"/>
      <c r="J35" s="196"/>
      <c r="K35" s="192" t="s">
        <v>348</v>
      </c>
      <c r="L35" s="48"/>
      <c r="M35" s="200">
        <v>1</v>
      </c>
      <c r="N35" s="201"/>
      <c r="O35" s="177"/>
      <c r="P35" s="52"/>
      <c r="Q35" s="53"/>
      <c r="R35" s="54"/>
      <c r="S35" s="54"/>
      <c r="T35" s="118"/>
      <c r="U35" s="160"/>
      <c r="V35" s="48"/>
      <c r="Y35" s="177"/>
      <c r="Z35" s="167">
        <v>20</v>
      </c>
      <c r="AA35" s="167">
        <v>25</v>
      </c>
      <c r="AB35" s="48" t="s">
        <v>418</v>
      </c>
      <c r="AC35" s="48"/>
      <c r="AD35" s="48"/>
      <c r="AE35" s="48"/>
      <c r="AF35" s="48"/>
    </row>
    <row r="36" spans="1:34" s="41" customFormat="1" ht="24.95" customHeight="1">
      <c r="A36" s="163"/>
      <c r="B36" s="47"/>
      <c r="C36" s="47"/>
      <c r="D36" s="164"/>
      <c r="E36" s="186"/>
      <c r="F36" s="167" t="s">
        <v>349</v>
      </c>
      <c r="G36" s="184" t="s">
        <v>350</v>
      </c>
      <c r="H36" s="167"/>
      <c r="I36" s="202"/>
      <c r="J36" s="167"/>
      <c r="K36" s="166"/>
      <c r="L36" s="184"/>
      <c r="M36" s="184"/>
      <c r="N36" s="203" t="s">
        <v>351</v>
      </c>
      <c r="O36" s="204">
        <f>INT(((L26/L27+(L26/L28))*60*100))/100</f>
        <v>4.82</v>
      </c>
      <c r="P36" s="159" t="s">
        <v>339</v>
      </c>
      <c r="Q36" s="53"/>
      <c r="R36" s="54"/>
      <c r="S36" s="54"/>
      <c r="T36" s="118"/>
      <c r="U36" s="160"/>
      <c r="V36" s="48"/>
      <c r="Y36" s="177"/>
      <c r="Z36" s="167">
        <v>25</v>
      </c>
      <c r="AA36" s="167">
        <v>30</v>
      </c>
      <c r="AB36" s="48" t="s">
        <v>419</v>
      </c>
      <c r="AC36" s="48"/>
      <c r="AD36" s="48"/>
      <c r="AE36" s="48"/>
      <c r="AF36" s="48"/>
    </row>
    <row r="37" spans="1:34" s="41" customFormat="1" ht="24.95" customHeight="1">
      <c r="A37" s="163"/>
      <c r="B37" s="47"/>
      <c r="C37" s="47"/>
      <c r="D37" s="164"/>
      <c r="E37" s="48"/>
      <c r="F37" s="48" t="s">
        <v>352</v>
      </c>
      <c r="G37" s="48" t="s">
        <v>353</v>
      </c>
      <c r="H37" s="48"/>
      <c r="I37" s="48"/>
      <c r="J37" s="48"/>
      <c r="K37" s="48"/>
      <c r="L37" s="48"/>
      <c r="M37" s="48"/>
      <c r="N37" s="203" t="s">
        <v>351</v>
      </c>
      <c r="O37" s="204">
        <v>0.8</v>
      </c>
      <c r="P37" s="52" t="s">
        <v>339</v>
      </c>
      <c r="Q37" s="53"/>
      <c r="R37" s="54"/>
      <c r="S37" s="54"/>
      <c r="T37" s="118"/>
      <c r="U37" s="160"/>
      <c r="V37" s="48"/>
      <c r="W37" s="48"/>
      <c r="X37" s="48"/>
      <c r="Y37" s="177"/>
      <c r="Z37" s="167">
        <v>30</v>
      </c>
      <c r="AA37" s="167">
        <v>35</v>
      </c>
      <c r="AB37" s="48" t="s">
        <v>420</v>
      </c>
      <c r="AC37" s="48"/>
      <c r="AD37" s="48"/>
      <c r="AE37" s="48"/>
      <c r="AF37" s="48"/>
    </row>
    <row r="38" spans="1:34" s="41" customFormat="1" ht="24.95" customHeight="1">
      <c r="A38" s="163"/>
      <c r="B38" s="47"/>
      <c r="C38" s="47"/>
      <c r="D38" s="164"/>
      <c r="E38" s="48"/>
      <c r="F38" s="48" t="s">
        <v>354</v>
      </c>
      <c r="G38" s="48" t="s">
        <v>355</v>
      </c>
      <c r="H38" s="48"/>
      <c r="I38" s="48"/>
      <c r="J38" s="48"/>
      <c r="K38" s="48"/>
      <c r="L38" s="48"/>
      <c r="M38" s="48"/>
      <c r="N38" s="203" t="s">
        <v>351</v>
      </c>
      <c r="O38" s="204">
        <v>0.42</v>
      </c>
      <c r="P38" s="52" t="s">
        <v>339</v>
      </c>
      <c r="Q38" s="53"/>
      <c r="R38" s="54"/>
      <c r="S38" s="54"/>
      <c r="T38" s="118"/>
      <c r="U38" s="160"/>
      <c r="V38" s="48"/>
      <c r="W38" s="48"/>
      <c r="X38" s="48"/>
      <c r="Y38" s="205" t="s">
        <v>356</v>
      </c>
      <c r="Z38" s="206">
        <v>30</v>
      </c>
      <c r="AA38" s="206">
        <v>35</v>
      </c>
      <c r="AB38" s="207" t="s">
        <v>421</v>
      </c>
      <c r="AC38" s="48"/>
      <c r="AD38" s="48"/>
      <c r="AE38" s="48"/>
      <c r="AF38" s="48"/>
    </row>
    <row r="39" spans="1:34" s="41" customFormat="1" ht="24.95" hidden="1" customHeight="1">
      <c r="A39" s="163"/>
      <c r="B39" s="47"/>
      <c r="C39" s="47"/>
      <c r="D39" s="164"/>
      <c r="E39" s="48"/>
      <c r="F39" s="48"/>
      <c r="G39" s="48"/>
      <c r="H39" s="48"/>
      <c r="I39" s="48"/>
      <c r="J39" s="48"/>
      <c r="K39" s="48"/>
      <c r="L39" s="48"/>
      <c r="M39" s="48"/>
      <c r="N39" s="203"/>
      <c r="O39" s="208"/>
      <c r="P39" s="52"/>
      <c r="Q39" s="209"/>
      <c r="R39" s="210"/>
      <c r="S39" s="210"/>
      <c r="T39" s="211"/>
      <c r="U39" s="160"/>
      <c r="V39" s="48"/>
      <c r="W39" s="48"/>
      <c r="X39" s="48"/>
      <c r="Y39" s="205" t="s">
        <v>356</v>
      </c>
      <c r="Z39" s="206">
        <v>30</v>
      </c>
      <c r="AA39" s="206">
        <v>35</v>
      </c>
      <c r="AB39" s="207" t="s">
        <v>422</v>
      </c>
      <c r="AC39" s="48"/>
      <c r="AD39" s="48"/>
      <c r="AE39" s="48"/>
      <c r="AF39" s="48"/>
    </row>
    <row r="40" spans="1:34" s="41" customFormat="1" ht="24.95" hidden="1" customHeight="1">
      <c r="A40" s="163"/>
      <c r="B40" s="47"/>
      <c r="C40" s="47"/>
      <c r="D40" s="164"/>
      <c r="E40" s="48"/>
      <c r="F40" s="48"/>
      <c r="G40" s="48"/>
      <c r="H40" s="48"/>
      <c r="I40" s="48"/>
      <c r="J40" s="48"/>
      <c r="K40" s="48"/>
      <c r="L40" s="48"/>
      <c r="M40" s="48"/>
      <c r="N40" s="203"/>
      <c r="O40" s="208"/>
      <c r="P40" s="52"/>
      <c r="Q40" s="209"/>
      <c r="R40" s="210"/>
      <c r="S40" s="210"/>
      <c r="T40" s="211"/>
      <c r="U40" s="160"/>
      <c r="V40" s="163"/>
      <c r="W40" s="48"/>
      <c r="X40" s="48"/>
      <c r="Y40" s="48"/>
      <c r="Z40" s="167">
        <v>35</v>
      </c>
      <c r="AA40" s="167">
        <v>35</v>
      </c>
      <c r="AB40" s="48" t="s">
        <v>423</v>
      </c>
      <c r="AC40" s="48"/>
      <c r="AD40" s="48"/>
      <c r="AE40" s="48"/>
      <c r="AF40" s="48"/>
    </row>
    <row r="41" spans="1:34" s="41" customFormat="1" ht="24.95" customHeight="1">
      <c r="A41" s="163"/>
      <c r="B41" s="47"/>
      <c r="C41" s="47"/>
      <c r="D41" s="164"/>
      <c r="E41" s="186" t="s">
        <v>357</v>
      </c>
      <c r="F41" s="212"/>
      <c r="G41" s="212"/>
      <c r="H41" s="212"/>
      <c r="I41" s="212"/>
      <c r="J41" s="212"/>
      <c r="K41" s="212"/>
      <c r="L41" s="212"/>
      <c r="M41" s="166"/>
      <c r="N41" s="166"/>
      <c r="O41" s="213"/>
      <c r="P41" s="48"/>
      <c r="Q41" s="209"/>
      <c r="R41" s="210"/>
      <c r="S41" s="210"/>
      <c r="T41" s="211"/>
      <c r="U41" s="160"/>
      <c r="V41" s="163"/>
      <c r="W41" s="48"/>
      <c r="X41" s="48"/>
      <c r="Y41" s="48"/>
      <c r="Z41" s="167">
        <v>35</v>
      </c>
      <c r="AA41" s="167">
        <v>35</v>
      </c>
      <c r="AB41" s="48" t="s">
        <v>424</v>
      </c>
      <c r="AC41" s="48"/>
      <c r="AD41" s="48"/>
      <c r="AE41" s="48"/>
      <c r="AF41" s="48"/>
    </row>
    <row r="42" spans="1:34" s="41" customFormat="1" ht="24.95" customHeight="1">
      <c r="A42" s="163"/>
      <c r="B42" s="47"/>
      <c r="C42" s="47"/>
      <c r="D42" s="164"/>
      <c r="E42" s="165"/>
      <c r="F42" s="156" t="s">
        <v>358</v>
      </c>
      <c r="G42" s="95" t="s">
        <v>359</v>
      </c>
      <c r="H42" s="166"/>
      <c r="I42" s="168"/>
      <c r="J42" s="166"/>
      <c r="K42" s="168">
        <f>INT(60*O33*L30*O30/I30*100)/100</f>
        <v>9.35</v>
      </c>
      <c r="L42" s="159" t="s">
        <v>360</v>
      </c>
      <c r="M42" s="159"/>
      <c r="N42" s="159"/>
      <c r="O42" s="213"/>
      <c r="P42" s="52"/>
      <c r="Q42" s="53"/>
      <c r="R42" s="54"/>
      <c r="S42" s="54"/>
      <c r="T42" s="118"/>
      <c r="U42" s="160"/>
      <c r="V42" s="163"/>
      <c r="W42" s="48"/>
      <c r="X42" s="48"/>
      <c r="Y42" s="48"/>
      <c r="Z42" s="167">
        <v>50</v>
      </c>
      <c r="AA42" s="167">
        <v>55</v>
      </c>
      <c r="AB42" s="48" t="s">
        <v>425</v>
      </c>
      <c r="AC42" s="48"/>
      <c r="AD42" s="48"/>
      <c r="AE42" s="48"/>
      <c r="AF42" s="48"/>
    </row>
    <row r="43" spans="1:34" s="41" customFormat="1" ht="24.95" hidden="1" customHeight="1">
      <c r="A43" s="163"/>
      <c r="B43" s="47"/>
      <c r="C43" s="47"/>
      <c r="D43" s="164"/>
      <c r="E43" s="165"/>
      <c r="F43" s="156"/>
      <c r="G43" s="95"/>
      <c r="H43" s="166"/>
      <c r="I43" s="168"/>
      <c r="J43" s="166"/>
      <c r="K43" s="168"/>
      <c r="L43" s="159"/>
      <c r="M43" s="159"/>
      <c r="N43" s="159"/>
      <c r="O43" s="213"/>
      <c r="P43" s="52"/>
      <c r="Q43" s="53"/>
      <c r="R43" s="54"/>
      <c r="S43" s="54"/>
      <c r="T43" s="118"/>
      <c r="U43" s="160"/>
      <c r="V43" s="163"/>
      <c r="W43" s="48"/>
      <c r="X43" s="48"/>
      <c r="Y43" s="48"/>
      <c r="Z43" s="167">
        <v>60</v>
      </c>
      <c r="AA43" s="167">
        <v>60</v>
      </c>
      <c r="AB43" s="48" t="s">
        <v>426</v>
      </c>
      <c r="AC43" s="48"/>
      <c r="AD43" s="48"/>
      <c r="AE43" s="48"/>
      <c r="AF43" s="48"/>
    </row>
    <row r="44" spans="1:34" s="41" customFormat="1" ht="24.95" hidden="1" customHeight="1">
      <c r="A44" s="163"/>
      <c r="B44" s="47"/>
      <c r="C44" s="47"/>
      <c r="D44" s="164"/>
      <c r="E44" s="186"/>
      <c r="F44" s="159"/>
      <c r="G44" s="214"/>
      <c r="H44" s="159"/>
      <c r="I44" s="159"/>
      <c r="J44" s="159"/>
      <c r="K44" s="159"/>
      <c r="L44" s="159"/>
      <c r="M44" s="159"/>
      <c r="N44" s="159"/>
      <c r="O44" s="213"/>
      <c r="P44" s="52"/>
      <c r="Q44" s="53"/>
      <c r="R44" s="54"/>
      <c r="S44" s="54"/>
      <c r="T44" s="118"/>
      <c r="U44" s="160"/>
      <c r="V44" s="163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5" spans="1:34" s="41" customFormat="1" ht="24.95" customHeight="1">
      <c r="A45" s="163"/>
      <c r="B45" s="47"/>
      <c r="C45" s="47"/>
      <c r="D45" s="164"/>
      <c r="E45" s="186" t="s">
        <v>361</v>
      </c>
      <c r="F45" s="159"/>
      <c r="G45" s="159"/>
      <c r="H45" s="159"/>
      <c r="I45" s="159"/>
      <c r="J45" s="159"/>
      <c r="K45" s="159"/>
      <c r="L45" s="159"/>
      <c r="M45" s="159"/>
      <c r="N45" s="159"/>
      <c r="O45" s="215"/>
      <c r="P45" s="52"/>
      <c r="Q45" s="53"/>
      <c r="R45" s="54"/>
      <c r="S45" s="54"/>
      <c r="T45" s="118"/>
      <c r="U45" s="160"/>
      <c r="V45" s="163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216"/>
      <c r="AH45" s="216"/>
    </row>
    <row r="46" spans="1:34" s="41" customFormat="1" ht="24.95" customHeight="1">
      <c r="A46" s="163"/>
      <c r="B46" s="47"/>
      <c r="C46" s="47"/>
      <c r="D46" s="164"/>
      <c r="E46" s="186"/>
      <c r="F46" s="159" t="s">
        <v>297</v>
      </c>
      <c r="G46" s="159"/>
      <c r="H46" s="159"/>
      <c r="I46" s="159"/>
      <c r="J46" s="217">
        <v>36713</v>
      </c>
      <c r="K46" s="166" t="s">
        <v>298</v>
      </c>
      <c r="L46" s="218">
        <f>K42</f>
        <v>9.35</v>
      </c>
      <c r="M46" s="159"/>
      <c r="N46" s="166" t="s">
        <v>299</v>
      </c>
      <c r="O46" s="219">
        <f>IFERROR(INT(J46/L46*10)/10,0)</f>
        <v>3926.5</v>
      </c>
      <c r="P46" s="52" t="s">
        <v>152</v>
      </c>
      <c r="Q46" s="105">
        <f>+O46</f>
        <v>3926.5</v>
      </c>
      <c r="R46" s="106"/>
      <c r="S46" s="106"/>
      <c r="T46" s="107">
        <f>ROUNDDOWN(Q46+R46+S46,1)</f>
        <v>3926.5</v>
      </c>
      <c r="U46" s="160"/>
      <c r="V46" s="163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216"/>
      <c r="AH46" s="216"/>
    </row>
    <row r="47" spans="1:34" s="41" customFormat="1" ht="24.95" customHeight="1">
      <c r="A47" s="163"/>
      <c r="B47" s="47"/>
      <c r="C47" s="47"/>
      <c r="D47" s="164"/>
      <c r="E47" s="186"/>
      <c r="F47" s="159" t="s">
        <v>302</v>
      </c>
      <c r="G47" s="159"/>
      <c r="H47" s="159"/>
      <c r="I47" s="159"/>
      <c r="J47" s="217">
        <v>4159</v>
      </c>
      <c r="K47" s="166" t="s">
        <v>298</v>
      </c>
      <c r="L47" s="218">
        <f>K42</f>
        <v>9.35</v>
      </c>
      <c r="M47" s="159"/>
      <c r="N47" s="166" t="s">
        <v>299</v>
      </c>
      <c r="O47" s="219">
        <f>IFERROR(INT(J47/L47*10)/10,0)</f>
        <v>444.8</v>
      </c>
      <c r="P47" s="52" t="s">
        <v>152</v>
      </c>
      <c r="Q47" s="105"/>
      <c r="R47" s="106">
        <f>+O47</f>
        <v>444.8</v>
      </c>
      <c r="S47" s="106"/>
      <c r="T47" s="107">
        <f>ROUNDDOWN(Q47+R47+S47,1)</f>
        <v>444.8</v>
      </c>
      <c r="U47" s="160"/>
      <c r="V47" s="163"/>
      <c r="W47" s="48"/>
      <c r="X47" s="48"/>
      <c r="Y47" s="48"/>
      <c r="Z47" s="48"/>
      <c r="AA47" s="48"/>
      <c r="AB47" s="48"/>
      <c r="AC47" s="48"/>
      <c r="AD47" s="48"/>
      <c r="AE47" s="48"/>
      <c r="AF47" s="48"/>
    </row>
    <row r="48" spans="1:34" s="41" customFormat="1" ht="24.95" customHeight="1">
      <c r="A48" s="163"/>
      <c r="B48" s="47"/>
      <c r="C48" s="47"/>
      <c r="D48" s="164"/>
      <c r="E48" s="186"/>
      <c r="F48" s="159" t="s">
        <v>305</v>
      </c>
      <c r="G48" s="159"/>
      <c r="H48" s="159"/>
      <c r="I48" s="159"/>
      <c r="J48" s="217">
        <v>5815</v>
      </c>
      <c r="K48" s="166" t="s">
        <v>298</v>
      </c>
      <c r="L48" s="218">
        <f>K42</f>
        <v>9.35</v>
      </c>
      <c r="M48" s="159"/>
      <c r="N48" s="166" t="s">
        <v>299</v>
      </c>
      <c r="O48" s="219">
        <f>IFERROR(INT(J48/L48*10)/10,0)</f>
        <v>621.9</v>
      </c>
      <c r="P48" s="52" t="s">
        <v>152</v>
      </c>
      <c r="Q48" s="105"/>
      <c r="R48" s="106"/>
      <c r="S48" s="106">
        <f>+O48</f>
        <v>621.9</v>
      </c>
      <c r="T48" s="107">
        <f>ROUNDDOWN(Q48+R48+S48,1)</f>
        <v>621.9</v>
      </c>
      <c r="U48" s="160"/>
      <c r="V48" s="163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pans="1:32" s="41" customFormat="1" ht="24.95" customHeight="1">
      <c r="A49" s="220"/>
      <c r="B49" s="603"/>
      <c r="C49" s="603"/>
      <c r="D49" s="221"/>
      <c r="E49" s="222"/>
      <c r="F49" s="223" t="s">
        <v>362</v>
      </c>
      <c r="G49" s="224"/>
      <c r="H49" s="223"/>
      <c r="I49" s="223"/>
      <c r="J49" s="223"/>
      <c r="K49" s="223"/>
      <c r="L49" s="223"/>
      <c r="M49" s="223"/>
      <c r="N49" s="223"/>
      <c r="O49" s="223"/>
      <c r="P49" s="223"/>
      <c r="Q49" s="225">
        <f>ROUNDDOWN(SUM(Q46:Q48),0)</f>
        <v>3926</v>
      </c>
      <c r="R49" s="226">
        <f>ROUNDDOWN(SUM(R46:R48),0)</f>
        <v>444</v>
      </c>
      <c r="S49" s="226">
        <f>ROUNDDOWN(SUM(S46:S48),0)</f>
        <v>621</v>
      </c>
      <c r="T49" s="227">
        <f>Q49+R49+S49</f>
        <v>4991</v>
      </c>
      <c r="U49" s="228"/>
      <c r="V49" s="163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</row>
    <row r="50" spans="1:32" s="41" customFormat="1" ht="24.95" customHeight="1">
      <c r="A50" s="229"/>
      <c r="B50" s="606" t="s">
        <v>363</v>
      </c>
      <c r="C50" s="606"/>
      <c r="D50" s="230"/>
      <c r="E50" s="231"/>
      <c r="F50" s="232"/>
      <c r="G50" s="233"/>
      <c r="H50" s="232"/>
      <c r="I50" s="232"/>
      <c r="J50" s="232"/>
      <c r="K50" s="232"/>
      <c r="L50" s="232"/>
      <c r="M50" s="232"/>
      <c r="N50" s="232"/>
      <c r="O50" s="232"/>
      <c r="P50" s="232"/>
      <c r="Q50" s="234">
        <f>Q49+Q19</f>
        <v>6595</v>
      </c>
      <c r="R50" s="235">
        <f>R19+R49</f>
        <v>923</v>
      </c>
      <c r="S50" s="235">
        <f>S19+S49</f>
        <v>1600</v>
      </c>
      <c r="T50" s="236">
        <f>T19+T49</f>
        <v>9118</v>
      </c>
      <c r="U50" s="237"/>
      <c r="V50" s="47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</row>
    <row r="51" spans="1:32" ht="27" hidden="1" customHeight="1">
      <c r="A51" s="575" t="s">
        <v>267</v>
      </c>
      <c r="B51" s="575"/>
      <c r="C51" s="575"/>
      <c r="D51" s="575"/>
      <c r="E51" s="575"/>
      <c r="F51" s="575"/>
      <c r="G51" s="575"/>
      <c r="H51" s="575"/>
      <c r="I51" s="575"/>
      <c r="J51" s="575"/>
      <c r="K51" s="575"/>
      <c r="L51" s="575"/>
      <c r="M51" s="575"/>
      <c r="N51" s="575"/>
      <c r="O51" s="575"/>
      <c r="P51" s="575"/>
      <c r="Q51" s="575"/>
      <c r="R51" s="575"/>
      <c r="S51" s="575"/>
      <c r="T51" s="575"/>
      <c r="U51" s="575"/>
      <c r="V51" s="40"/>
      <c r="W51" s="41" t="s">
        <v>364</v>
      </c>
    </row>
    <row r="52" spans="1:32" s="41" customFormat="1" ht="16.5" hidden="1" customHeight="1">
      <c r="A52" s="576" t="s">
        <v>269</v>
      </c>
      <c r="B52" s="576"/>
      <c r="C52" s="576"/>
      <c r="D52" s="576"/>
      <c r="E52" s="576"/>
      <c r="F52" s="576"/>
      <c r="G52" s="576"/>
      <c r="H52" s="576"/>
      <c r="I52" s="576"/>
      <c r="J52" s="576"/>
      <c r="K52" s="576"/>
      <c r="L52" s="576"/>
      <c r="M52" s="576"/>
      <c r="N52" s="576"/>
      <c r="O52" s="576"/>
      <c r="P52" s="576"/>
      <c r="Q52" s="576"/>
      <c r="R52" s="576"/>
      <c r="S52" s="576"/>
      <c r="T52" s="576"/>
      <c r="U52" s="576"/>
    </row>
    <row r="53" spans="1:32" s="41" customFormat="1" ht="20.100000000000001" hidden="1" customHeight="1">
      <c r="A53" s="577" t="s">
        <v>270</v>
      </c>
      <c r="B53" s="578"/>
      <c r="C53" s="578"/>
      <c r="D53" s="578"/>
      <c r="E53" s="579" t="s">
        <v>271</v>
      </c>
      <c r="F53" s="580"/>
      <c r="G53" s="580"/>
      <c r="H53" s="580"/>
      <c r="I53" s="580"/>
      <c r="J53" s="580"/>
      <c r="K53" s="580"/>
      <c r="L53" s="580"/>
      <c r="M53" s="580"/>
      <c r="N53" s="580"/>
      <c r="O53" s="580"/>
      <c r="P53" s="580"/>
      <c r="Q53" s="43" t="s">
        <v>62</v>
      </c>
      <c r="R53" s="44" t="s">
        <v>41</v>
      </c>
      <c r="S53" s="44" t="s">
        <v>272</v>
      </c>
      <c r="T53" s="45" t="s">
        <v>38</v>
      </c>
      <c r="U53" s="46" t="s">
        <v>273</v>
      </c>
      <c r="W53" s="47" t="s">
        <v>274</v>
      </c>
      <c r="X53" s="47" t="s">
        <v>318</v>
      </c>
      <c r="Y53" s="48"/>
    </row>
    <row r="54" spans="1:32" s="48" customFormat="1" ht="20.100000000000001" hidden="1" customHeight="1">
      <c r="A54" s="581" t="s">
        <v>307</v>
      </c>
      <c r="B54" s="582"/>
      <c r="C54" s="582"/>
      <c r="D54" s="583"/>
      <c r="E54" s="587" t="s">
        <v>365</v>
      </c>
      <c r="F54" s="588"/>
      <c r="G54" s="588"/>
      <c r="H54" s="588"/>
      <c r="I54" s="588"/>
      <c r="J54" s="588"/>
      <c r="K54" s="588"/>
      <c r="L54" s="49"/>
      <c r="M54" s="50"/>
      <c r="N54" s="51"/>
      <c r="O54" s="52"/>
      <c r="P54" s="52"/>
      <c r="Q54" s="53"/>
      <c r="R54" s="54"/>
      <c r="S54" s="54"/>
      <c r="T54" s="55"/>
      <c r="U54" s="56"/>
      <c r="W54" s="47" t="s">
        <v>366</v>
      </c>
      <c r="X54" s="47" t="s">
        <v>279</v>
      </c>
    </row>
    <row r="55" spans="1:32" s="48" customFormat="1" ht="17.100000000000001" hidden="1" customHeight="1">
      <c r="A55" s="584"/>
      <c r="B55" s="585"/>
      <c r="C55" s="585"/>
      <c r="D55" s="586"/>
      <c r="E55" s="57" t="str">
        <f>"※ 수집목 평균경급 "&amp;Y64&amp;Z64&amp;",  조재 길이 "&amp;Y65&amp;Z65&amp;", 1회에 "&amp;Y66&amp;Z66&amp;" 상차 적용"</f>
        <v>※ 수집목 평균경급 20cm,  조재 길이 1m, 1회에 5개 상차 적용</v>
      </c>
      <c r="F55" s="58"/>
      <c r="G55" s="58"/>
      <c r="H55" s="58"/>
      <c r="I55" s="58"/>
      <c r="J55" s="58"/>
      <c r="K55" s="49"/>
      <c r="L55" s="58"/>
      <c r="M55" s="49"/>
      <c r="N55" s="51"/>
      <c r="O55" s="52"/>
      <c r="P55" s="52"/>
      <c r="Q55" s="53"/>
      <c r="R55" s="54"/>
      <c r="S55" s="54"/>
      <c r="T55" s="55"/>
      <c r="U55" s="56"/>
    </row>
    <row r="56" spans="1:32" s="48" customFormat="1" ht="17.100000000000001" hidden="1" customHeight="1">
      <c r="A56" s="589">
        <v>1</v>
      </c>
      <c r="B56" s="590"/>
      <c r="C56" s="590"/>
      <c r="D56" s="591"/>
      <c r="E56" s="59"/>
      <c r="F56" s="58" t="s">
        <v>367</v>
      </c>
      <c r="G56" s="60">
        <f>(Y64/2)/100</f>
        <v>0.1</v>
      </c>
      <c r="H56" s="61" t="str">
        <f>" × "&amp;G56&amp;" × 3.14 × "&amp;Y65&amp;"m × "&amp;Y66&amp;"EA ="</f>
        <v xml:space="preserve"> × 0.1 × 3.14 × 1m × 5EA =</v>
      </c>
      <c r="I56" s="58"/>
      <c r="J56" s="49"/>
      <c r="K56" s="62"/>
      <c r="L56" s="63">
        <f>INT((Y64/200)*(Y64/200)*3.14*Y65*Y66*100)/100</f>
        <v>0.15</v>
      </c>
      <c r="M56" s="49"/>
      <c r="N56" s="51"/>
      <c r="O56" s="52"/>
      <c r="P56" s="52"/>
      <c r="Q56" s="53"/>
      <c r="R56" s="54"/>
      <c r="S56" s="54"/>
      <c r="T56" s="55"/>
      <c r="U56" s="56"/>
    </row>
    <row r="57" spans="1:32" s="48" customFormat="1" ht="17.100000000000001" hidden="1" customHeight="1">
      <c r="A57" s="64"/>
      <c r="B57" s="65"/>
      <c r="C57" s="65"/>
      <c r="D57" s="66"/>
      <c r="E57" s="67" t="s">
        <v>281</v>
      </c>
      <c r="F57" s="68"/>
      <c r="G57" s="68"/>
      <c r="H57" s="68"/>
      <c r="I57" s="68"/>
      <c r="J57" s="68"/>
      <c r="K57" s="68"/>
      <c r="L57" s="68"/>
      <c r="M57" s="68"/>
      <c r="N57" s="69"/>
      <c r="O57" s="70"/>
      <c r="P57" s="52"/>
      <c r="Q57" s="53"/>
      <c r="R57" s="54"/>
      <c r="S57" s="54"/>
      <c r="T57" s="71"/>
      <c r="U57" s="72"/>
    </row>
    <row r="58" spans="1:32" s="48" customFormat="1" ht="17.100000000000001" hidden="1" customHeight="1">
      <c r="A58" s="592" t="s">
        <v>368</v>
      </c>
      <c r="B58" s="593"/>
      <c r="C58" s="593"/>
      <c r="D58" s="594"/>
      <c r="E58" s="73"/>
      <c r="F58" s="51" t="s">
        <v>283</v>
      </c>
      <c r="G58" s="74">
        <v>1.1000000000000001</v>
      </c>
      <c r="H58" s="75" t="s">
        <v>369</v>
      </c>
      <c r="I58" s="76">
        <v>1</v>
      </c>
      <c r="J58" s="75" t="s">
        <v>370</v>
      </c>
      <c r="K58" s="74">
        <v>0.9</v>
      </c>
      <c r="L58" s="69"/>
      <c r="M58" s="69"/>
      <c r="N58" s="52"/>
      <c r="O58" s="52"/>
      <c r="P58" s="52"/>
      <c r="Q58" s="53"/>
      <c r="R58" s="54"/>
      <c r="S58" s="54"/>
      <c r="T58" s="55"/>
      <c r="U58" s="56"/>
      <c r="W58" s="47"/>
      <c r="X58" s="47"/>
      <c r="Y58" s="47"/>
      <c r="Z58" s="47"/>
    </row>
    <row r="59" spans="1:32" s="48" customFormat="1" ht="17.100000000000001" hidden="1" customHeight="1">
      <c r="A59" s="595"/>
      <c r="B59" s="593"/>
      <c r="C59" s="593"/>
      <c r="D59" s="594"/>
      <c r="E59" s="73"/>
      <c r="F59" s="51" t="s">
        <v>371</v>
      </c>
      <c r="G59" s="77">
        <f>L56</f>
        <v>0.15</v>
      </c>
      <c r="H59" s="75" t="s">
        <v>287</v>
      </c>
      <c r="I59" s="78">
        <v>15</v>
      </c>
      <c r="J59" s="79" t="s">
        <v>372</v>
      </c>
      <c r="K59" s="51"/>
      <c r="L59" s="51"/>
      <c r="M59" s="51"/>
      <c r="N59" s="51"/>
      <c r="O59" s="52"/>
      <c r="P59" s="52"/>
      <c r="Q59" s="53"/>
      <c r="R59" s="54"/>
      <c r="S59" s="54"/>
      <c r="T59" s="80"/>
      <c r="U59" s="81"/>
      <c r="W59" s="82"/>
      <c r="X59" s="83"/>
      <c r="Y59" s="84"/>
      <c r="Z59" s="85"/>
    </row>
    <row r="60" spans="1:32" s="48" customFormat="1" ht="17.100000000000001" hidden="1" customHeight="1">
      <c r="A60" s="595"/>
      <c r="B60" s="593"/>
      <c r="C60" s="593"/>
      <c r="D60" s="594"/>
      <c r="E60" s="596"/>
      <c r="F60" s="597"/>
      <c r="G60" s="86"/>
      <c r="H60" s="87"/>
      <c r="I60" s="69"/>
      <c r="J60" s="86"/>
      <c r="K60" s="51"/>
      <c r="L60" s="51"/>
      <c r="M60" s="86"/>
      <c r="N60" s="51"/>
      <c r="O60" s="88"/>
      <c r="P60" s="52"/>
      <c r="Q60" s="53"/>
      <c r="R60" s="54"/>
      <c r="S60" s="54"/>
      <c r="T60" s="80"/>
      <c r="U60" s="81"/>
      <c r="W60" s="82"/>
      <c r="X60" s="83"/>
      <c r="Y60" s="83"/>
      <c r="Z60" s="85"/>
    </row>
    <row r="61" spans="1:32" s="48" customFormat="1" ht="17.100000000000001" hidden="1" customHeight="1">
      <c r="A61" s="89"/>
      <c r="B61" s="70"/>
      <c r="C61" s="70"/>
      <c r="D61" s="90"/>
      <c r="E61" s="73" t="s">
        <v>289</v>
      </c>
      <c r="F61" s="69"/>
      <c r="G61" s="69"/>
      <c r="H61" s="69"/>
      <c r="I61" s="69"/>
      <c r="J61" s="69"/>
      <c r="K61" s="69"/>
      <c r="L61" s="69"/>
      <c r="M61" s="69"/>
      <c r="N61" s="51"/>
      <c r="O61" s="52"/>
      <c r="P61" s="52"/>
      <c r="Q61" s="53"/>
      <c r="R61" s="54"/>
      <c r="S61" s="54"/>
      <c r="T61" s="80"/>
      <c r="U61" s="81"/>
      <c r="W61" s="82"/>
      <c r="X61" s="91"/>
      <c r="Y61" s="92"/>
      <c r="Z61" s="93"/>
    </row>
    <row r="62" spans="1:32" s="48" customFormat="1" ht="17.100000000000001" hidden="1" customHeight="1">
      <c r="A62" s="89"/>
      <c r="B62" s="70"/>
      <c r="C62" s="70"/>
      <c r="D62" s="90"/>
      <c r="E62" s="94"/>
      <c r="F62" s="75" t="s">
        <v>290</v>
      </c>
      <c r="G62" s="95" t="s">
        <v>373</v>
      </c>
      <c r="H62" s="86"/>
      <c r="I62" s="96"/>
      <c r="J62" s="86"/>
      <c r="K62" s="96"/>
      <c r="L62" s="600">
        <f>INT(3600*G59*G58*I58*K58)/I59</f>
        <v>35.6</v>
      </c>
      <c r="M62" s="600"/>
      <c r="N62" s="51" t="s">
        <v>374</v>
      </c>
      <c r="O62" s="69"/>
      <c r="P62" s="52"/>
      <c r="Q62" s="53"/>
      <c r="R62" s="54"/>
      <c r="S62" s="54"/>
      <c r="T62" s="80"/>
      <c r="U62" s="81"/>
      <c r="W62" s="598" t="s">
        <v>293</v>
      </c>
      <c r="X62" s="598"/>
      <c r="Y62" s="598"/>
      <c r="Z62" s="598"/>
    </row>
    <row r="63" spans="1:32" s="48" customFormat="1" ht="17.100000000000001" hidden="1" customHeight="1">
      <c r="A63" s="89"/>
      <c r="B63" s="70"/>
      <c r="C63" s="70"/>
      <c r="D63" s="90"/>
      <c r="E63" s="73"/>
      <c r="F63" s="51"/>
      <c r="G63" s="51"/>
      <c r="H63" s="51"/>
      <c r="I63" s="51"/>
      <c r="J63" s="51"/>
      <c r="K63" s="51"/>
      <c r="L63" s="51"/>
      <c r="M63" s="51"/>
      <c r="N63" s="51"/>
      <c r="O63" s="52"/>
      <c r="P63" s="52"/>
      <c r="Q63" s="53"/>
      <c r="R63" s="54"/>
      <c r="S63" s="54"/>
      <c r="T63" s="80"/>
      <c r="U63" s="81"/>
      <c r="W63" s="599"/>
      <c r="X63" s="599"/>
      <c r="Y63" s="599"/>
      <c r="Z63" s="599"/>
    </row>
    <row r="64" spans="1:32" s="48" customFormat="1" ht="17.100000000000001" hidden="1" customHeight="1">
      <c r="A64" s="89"/>
      <c r="B64" s="70"/>
      <c r="C64" s="70"/>
      <c r="D64" s="90"/>
      <c r="E64" s="73" t="s">
        <v>294</v>
      </c>
      <c r="F64" s="51"/>
      <c r="G64" s="51"/>
      <c r="H64" s="51"/>
      <c r="I64" s="51"/>
      <c r="J64" s="51"/>
      <c r="K64" s="51"/>
      <c r="L64" s="51"/>
      <c r="M64" s="51"/>
      <c r="N64" s="51"/>
      <c r="O64" s="52"/>
      <c r="P64" s="52"/>
      <c r="Q64" s="53"/>
      <c r="R64" s="54"/>
      <c r="S64" s="54"/>
      <c r="T64" s="80"/>
      <c r="U64" s="81"/>
      <c r="W64" s="97"/>
      <c r="X64" s="98" t="s">
        <v>375</v>
      </c>
      <c r="Y64" s="99">
        <v>20</v>
      </c>
      <c r="Z64" s="100" t="s">
        <v>296</v>
      </c>
      <c r="AB64" s="101">
        <v>22</v>
      </c>
    </row>
    <row r="65" spans="1:34" s="48" customFormat="1" ht="17.100000000000001" hidden="1" customHeight="1">
      <c r="A65" s="89"/>
      <c r="B65" s="70"/>
      <c r="C65" s="70"/>
      <c r="D65" s="90"/>
      <c r="E65" s="73"/>
      <c r="F65" s="51" t="s">
        <v>297</v>
      </c>
      <c r="G65" s="51"/>
      <c r="H65" s="51"/>
      <c r="I65" s="102">
        <v>42267</v>
      </c>
      <c r="J65" s="86" t="s">
        <v>298</v>
      </c>
      <c r="K65" s="96">
        <f>L62</f>
        <v>35.6</v>
      </c>
      <c r="L65" s="86"/>
      <c r="M65" s="103"/>
      <c r="N65" s="75" t="s">
        <v>299</v>
      </c>
      <c r="O65" s="104">
        <f>IFERROR(INT(I65/K65),0)</f>
        <v>1187</v>
      </c>
      <c r="P65" s="52" t="s">
        <v>152</v>
      </c>
      <c r="Q65" s="105">
        <f>+O65</f>
        <v>1187</v>
      </c>
      <c r="R65" s="106"/>
      <c r="S65" s="106"/>
      <c r="T65" s="107">
        <f>ROUNDDOWN(Q65+R65+S65,1)</f>
        <v>1187</v>
      </c>
      <c r="U65" s="81"/>
      <c r="W65" s="108"/>
      <c r="X65" s="109" t="s">
        <v>376</v>
      </c>
      <c r="Y65" s="238">
        <v>1</v>
      </c>
      <c r="Z65" s="110" t="s">
        <v>377</v>
      </c>
    </row>
    <row r="66" spans="1:34" s="48" customFormat="1" ht="17.100000000000001" hidden="1" customHeight="1">
      <c r="A66" s="89"/>
      <c r="B66" s="70"/>
      <c r="C66" s="70"/>
      <c r="D66" s="90"/>
      <c r="E66" s="73"/>
      <c r="F66" s="51" t="s">
        <v>302</v>
      </c>
      <c r="G66" s="51"/>
      <c r="H66" s="51"/>
      <c r="I66" s="102">
        <v>7598</v>
      </c>
      <c r="J66" s="86" t="s">
        <v>298</v>
      </c>
      <c r="K66" s="96">
        <f>L62</f>
        <v>35.6</v>
      </c>
      <c r="L66" s="86"/>
      <c r="M66" s="103"/>
      <c r="N66" s="75" t="s">
        <v>299</v>
      </c>
      <c r="O66" s="104">
        <f>IFERROR(INT(I66/K66),0)</f>
        <v>213</v>
      </c>
      <c r="P66" s="52" t="s">
        <v>152</v>
      </c>
      <c r="Q66" s="105"/>
      <c r="R66" s="106">
        <f>+O66</f>
        <v>213</v>
      </c>
      <c r="S66" s="106"/>
      <c r="T66" s="107">
        <f>ROUNDDOWN(Q66+R66+S66,1)</f>
        <v>213</v>
      </c>
      <c r="U66" s="81"/>
      <c r="W66" s="111"/>
      <c r="X66" s="112" t="s">
        <v>378</v>
      </c>
      <c r="Y66" s="239">
        <v>5</v>
      </c>
      <c r="Z66" s="114" t="s">
        <v>379</v>
      </c>
    </row>
    <row r="67" spans="1:34" s="48" customFormat="1" ht="17.100000000000001" hidden="1" customHeight="1">
      <c r="A67" s="89"/>
      <c r="B67" s="70"/>
      <c r="C67" s="70"/>
      <c r="D67" s="90"/>
      <c r="E67" s="73"/>
      <c r="F67" s="51" t="s">
        <v>305</v>
      </c>
      <c r="G67" s="51"/>
      <c r="H67" s="51"/>
      <c r="I67" s="102">
        <v>15515</v>
      </c>
      <c r="J67" s="86" t="s">
        <v>298</v>
      </c>
      <c r="K67" s="96">
        <f>L62</f>
        <v>35.6</v>
      </c>
      <c r="L67" s="86"/>
      <c r="M67" s="103"/>
      <c r="N67" s="75" t="s">
        <v>299</v>
      </c>
      <c r="O67" s="104">
        <f>IFERROR(INT(I67/K67),0)</f>
        <v>435</v>
      </c>
      <c r="P67" s="52" t="s">
        <v>152</v>
      </c>
      <c r="Q67" s="105"/>
      <c r="R67" s="106"/>
      <c r="S67" s="106">
        <f>+O67</f>
        <v>435</v>
      </c>
      <c r="T67" s="107">
        <f>ROUNDDOWN(Q67+R67+S67,1)</f>
        <v>435</v>
      </c>
      <c r="U67" s="81"/>
      <c r="W67" s="115"/>
      <c r="X67" s="116"/>
      <c r="Y67" s="41"/>
    </row>
    <row r="68" spans="1:34" s="48" customFormat="1" ht="17.100000000000001" hidden="1" customHeight="1">
      <c r="A68" s="89"/>
      <c r="B68" s="70"/>
      <c r="C68" s="70"/>
      <c r="D68" s="90"/>
      <c r="E68" s="73"/>
      <c r="F68" s="51"/>
      <c r="G68" s="51"/>
      <c r="H68" s="51"/>
      <c r="I68" s="51"/>
      <c r="J68" s="51"/>
      <c r="K68" s="51"/>
      <c r="L68" s="51"/>
      <c r="M68" s="51"/>
      <c r="N68" s="51"/>
      <c r="O68" s="117"/>
      <c r="P68" s="52"/>
      <c r="Q68" s="53"/>
      <c r="R68" s="54"/>
      <c r="S68" s="54"/>
      <c r="T68" s="118"/>
      <c r="U68" s="81"/>
    </row>
    <row r="69" spans="1:34" s="48" customFormat="1" ht="17.100000000000001" hidden="1" customHeight="1">
      <c r="A69" s="89"/>
      <c r="B69" s="70"/>
      <c r="C69" s="70"/>
      <c r="D69" s="90"/>
      <c r="E69" s="119"/>
      <c r="F69" s="120" t="s">
        <v>380</v>
      </c>
      <c r="G69" s="121"/>
      <c r="H69" s="120"/>
      <c r="I69" s="120"/>
      <c r="J69" s="120"/>
      <c r="K69" s="120"/>
      <c r="L69" s="120"/>
      <c r="M69" s="120"/>
      <c r="N69" s="120"/>
      <c r="O69" s="122"/>
      <c r="P69" s="123"/>
      <c r="Q69" s="124">
        <f>ROUNDDOWN(SUM(Q65:Q68),0)</f>
        <v>1187</v>
      </c>
      <c r="R69" s="125">
        <f>ROUNDDOWN(SUM(R65:R68),0)</f>
        <v>213</v>
      </c>
      <c r="S69" s="125">
        <f>ROUNDDOWN(SUM(S65:S68),0)</f>
        <v>435</v>
      </c>
      <c r="T69" s="126">
        <f>Q69+R69+S69</f>
        <v>1835</v>
      </c>
      <c r="U69" s="127"/>
    </row>
    <row r="70" spans="1:34" s="48" customFormat="1" ht="17.100000000000001" hidden="1" customHeight="1">
      <c r="A70" s="89"/>
      <c r="B70" s="70"/>
      <c r="C70" s="70"/>
      <c r="D70" s="90"/>
      <c r="E70" s="128"/>
      <c r="F70" s="129"/>
      <c r="G70" s="103"/>
      <c r="H70" s="130"/>
      <c r="I70" s="131"/>
      <c r="J70" s="51"/>
      <c r="K70" s="51"/>
      <c r="L70" s="51"/>
      <c r="M70" s="51"/>
      <c r="N70" s="51"/>
      <c r="O70" s="117"/>
      <c r="P70" s="52"/>
      <c r="Q70" s="53"/>
      <c r="R70" s="54"/>
      <c r="S70" s="54"/>
      <c r="T70" s="80"/>
      <c r="U70" s="81"/>
    </row>
    <row r="71" spans="1:34" s="48" customFormat="1" ht="17.100000000000001" hidden="1" customHeight="1">
      <c r="A71" s="89"/>
      <c r="B71" s="70"/>
      <c r="C71" s="70"/>
      <c r="D71" s="90"/>
      <c r="E71" s="128"/>
      <c r="F71" s="51"/>
      <c r="G71" s="51"/>
      <c r="H71" s="69"/>
      <c r="I71" s="132"/>
      <c r="J71" s="103"/>
      <c r="K71" s="96"/>
      <c r="L71" s="69"/>
      <c r="M71" s="51"/>
      <c r="N71" s="75"/>
      <c r="O71" s="104"/>
      <c r="P71" s="52"/>
      <c r="Q71" s="53"/>
      <c r="R71" s="106"/>
      <c r="S71" s="133"/>
      <c r="T71" s="80"/>
      <c r="U71" s="81"/>
    </row>
    <row r="72" spans="1:34" s="48" customFormat="1" ht="17.100000000000001" hidden="1" customHeight="1">
      <c r="A72" s="89"/>
      <c r="B72" s="70"/>
      <c r="C72" s="70"/>
      <c r="D72" s="90"/>
      <c r="E72" s="73"/>
      <c r="F72" s="51"/>
      <c r="G72" s="86"/>
      <c r="H72" s="51"/>
      <c r="I72" s="51"/>
      <c r="J72" s="51"/>
      <c r="K72" s="51"/>
      <c r="L72" s="51"/>
      <c r="M72" s="51"/>
      <c r="N72" s="51"/>
      <c r="O72" s="117"/>
      <c r="P72" s="52"/>
      <c r="Q72" s="53"/>
      <c r="R72" s="54"/>
      <c r="S72" s="54"/>
      <c r="T72" s="80"/>
      <c r="U72" s="81"/>
    </row>
    <row r="73" spans="1:34" s="48" customFormat="1" ht="17.100000000000001" hidden="1" customHeight="1">
      <c r="A73" s="134"/>
      <c r="B73" s="135"/>
      <c r="C73" s="135"/>
      <c r="D73" s="136"/>
      <c r="E73" s="137"/>
      <c r="F73" s="138"/>
      <c r="G73" s="139"/>
      <c r="H73" s="138"/>
      <c r="I73" s="138"/>
      <c r="J73" s="138"/>
      <c r="K73" s="138"/>
      <c r="L73" s="138"/>
      <c r="M73" s="138"/>
      <c r="N73" s="138"/>
      <c r="O73" s="140"/>
      <c r="P73" s="141"/>
      <c r="Q73" s="142"/>
      <c r="R73" s="143"/>
      <c r="S73" s="143"/>
      <c r="T73" s="144"/>
      <c r="U73" s="145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</row>
    <row r="74" spans="1:34" s="41" customFormat="1" ht="20.100000000000001" hidden="1" customHeight="1">
      <c r="A74" s="577" t="s">
        <v>270</v>
      </c>
      <c r="B74" s="578"/>
      <c r="C74" s="578"/>
      <c r="D74" s="578"/>
      <c r="E74" s="579" t="s">
        <v>271</v>
      </c>
      <c r="F74" s="580"/>
      <c r="G74" s="580"/>
      <c r="H74" s="580"/>
      <c r="I74" s="580"/>
      <c r="J74" s="580"/>
      <c r="K74" s="580"/>
      <c r="L74" s="580"/>
      <c r="M74" s="580"/>
      <c r="N74" s="580"/>
      <c r="O74" s="580"/>
      <c r="P74" s="580"/>
      <c r="Q74" s="43" t="s">
        <v>62</v>
      </c>
      <c r="R74" s="44" t="s">
        <v>41</v>
      </c>
      <c r="S74" s="44" t="s">
        <v>272</v>
      </c>
      <c r="T74" s="45" t="s">
        <v>38</v>
      </c>
      <c r="U74" s="46" t="s">
        <v>273</v>
      </c>
      <c r="W74" s="47"/>
      <c r="X74" s="47"/>
      <c r="Y74" s="48"/>
    </row>
    <row r="75" spans="1:34" s="41" customFormat="1" ht="20.100000000000001" hidden="1" customHeight="1">
      <c r="A75" s="581" t="s">
        <v>381</v>
      </c>
      <c r="B75" s="582"/>
      <c r="C75" s="582"/>
      <c r="D75" s="583"/>
      <c r="E75" s="147" t="s">
        <v>308</v>
      </c>
      <c r="F75" s="148"/>
      <c r="G75" s="149"/>
      <c r="H75" s="150">
        <v>1</v>
      </c>
      <c r="I75" s="148" t="s">
        <v>382</v>
      </c>
      <c r="J75" s="148"/>
      <c r="K75" s="148"/>
      <c r="L75" s="148"/>
      <c r="M75" s="148"/>
      <c r="N75" s="148"/>
      <c r="O75" s="151"/>
      <c r="P75" s="151"/>
      <c r="Q75" s="152"/>
      <c r="R75" s="153"/>
      <c r="S75" s="153"/>
      <c r="T75" s="154"/>
      <c r="U75" s="155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</row>
    <row r="76" spans="1:34" s="41" customFormat="1" ht="17.100000000000001" hidden="1" customHeight="1">
      <c r="A76" s="584"/>
      <c r="B76" s="585"/>
      <c r="C76" s="585"/>
      <c r="D76" s="586"/>
      <c r="E76" s="607" t="s">
        <v>310</v>
      </c>
      <c r="F76" s="605" t="s">
        <v>311</v>
      </c>
      <c r="G76" s="605"/>
      <c r="H76" s="608" t="s">
        <v>312</v>
      </c>
      <c r="I76" s="604">
        <f>L76</f>
        <v>0.1</v>
      </c>
      <c r="J76" s="605" t="s">
        <v>383</v>
      </c>
      <c r="K76" s="156" t="s">
        <v>384</v>
      </c>
      <c r="L76" s="157">
        <v>0.1</v>
      </c>
      <c r="M76" s="48" t="s">
        <v>385</v>
      </c>
      <c r="N76" s="158"/>
      <c r="O76" s="601" t="s">
        <v>316</v>
      </c>
      <c r="P76" s="159"/>
      <c r="Q76" s="53"/>
      <c r="R76" s="54"/>
      <c r="S76" s="54"/>
      <c r="T76" s="118"/>
      <c r="U76" s="160"/>
      <c r="V76" s="48"/>
      <c r="W76" s="48" t="s">
        <v>317</v>
      </c>
      <c r="X76" s="48" t="s">
        <v>275</v>
      </c>
      <c r="Y76" s="48"/>
      <c r="Z76" s="48"/>
      <c r="AA76" s="48"/>
      <c r="AB76" s="48"/>
      <c r="AC76" s="48"/>
      <c r="AD76" s="48"/>
      <c r="AE76" s="48"/>
      <c r="AF76" s="48"/>
    </row>
    <row r="77" spans="1:34" s="41" customFormat="1" ht="17.100000000000001" hidden="1" customHeight="1">
      <c r="A77" s="589">
        <v>1</v>
      </c>
      <c r="B77" s="590"/>
      <c r="C77" s="590"/>
      <c r="D77" s="591"/>
      <c r="E77" s="607"/>
      <c r="F77" s="605"/>
      <c r="G77" s="605"/>
      <c r="H77" s="608"/>
      <c r="I77" s="604"/>
      <c r="J77" s="605"/>
      <c r="K77" s="149" t="s">
        <v>386</v>
      </c>
      <c r="L77" s="161">
        <v>7</v>
      </c>
      <c r="M77" s="162" t="s">
        <v>323</v>
      </c>
      <c r="N77" s="149"/>
      <c r="O77" s="601"/>
      <c r="P77" s="52"/>
      <c r="Q77" s="53"/>
      <c r="R77" s="54"/>
      <c r="S77" s="54"/>
      <c r="T77" s="118"/>
      <c r="U77" s="160"/>
      <c r="V77" s="48"/>
      <c r="W77" s="48" t="s">
        <v>278</v>
      </c>
      <c r="X77" s="48" t="s">
        <v>387</v>
      </c>
      <c r="Y77" s="48"/>
      <c r="Z77" s="48"/>
      <c r="AA77" s="48"/>
      <c r="AB77" s="48"/>
      <c r="AC77" s="48"/>
      <c r="AD77" s="48"/>
      <c r="AE77" s="48"/>
      <c r="AF77" s="48"/>
    </row>
    <row r="78" spans="1:34" s="41" customFormat="1" ht="17.100000000000001" hidden="1" customHeight="1">
      <c r="A78" s="163"/>
      <c r="B78" s="47"/>
      <c r="C78" s="47"/>
      <c r="D78" s="164"/>
      <c r="E78" s="165"/>
      <c r="F78" s="166"/>
      <c r="G78" s="166"/>
      <c r="H78" s="167"/>
      <c r="I78" s="168"/>
      <c r="J78" s="166"/>
      <c r="K78" s="156" t="s">
        <v>322</v>
      </c>
      <c r="L78" s="169">
        <v>8</v>
      </c>
      <c r="M78" s="47" t="s">
        <v>388</v>
      </c>
      <c r="N78" s="156"/>
      <c r="O78" s="170"/>
      <c r="P78" s="52"/>
      <c r="Q78" s="53"/>
      <c r="R78" s="54"/>
      <c r="S78" s="54"/>
      <c r="T78" s="118"/>
      <c r="U78" s="160"/>
      <c r="V78" s="48"/>
      <c r="W78" s="48"/>
      <c r="X78" s="48"/>
      <c r="Y78" s="48"/>
      <c r="Z78" s="602">
        <v>0</v>
      </c>
      <c r="AA78" s="602"/>
      <c r="AB78" s="171">
        <v>0</v>
      </c>
      <c r="AC78" s="171"/>
      <c r="AD78" s="171"/>
      <c r="AE78" s="171"/>
      <c r="AF78" s="48"/>
    </row>
    <row r="79" spans="1:34" s="41" customFormat="1" ht="17.100000000000001" hidden="1" customHeight="1">
      <c r="A79" s="592" t="s">
        <v>368</v>
      </c>
      <c r="B79" s="593"/>
      <c r="C79" s="593"/>
      <c r="D79" s="594"/>
      <c r="E79" s="165" t="s">
        <v>389</v>
      </c>
      <c r="F79" s="159" t="s">
        <v>325</v>
      </c>
      <c r="G79" s="172"/>
      <c r="H79" s="156" t="s">
        <v>326</v>
      </c>
      <c r="I79" s="173">
        <v>0.2</v>
      </c>
      <c r="J79" s="159" t="s">
        <v>390</v>
      </c>
      <c r="K79" s="159"/>
      <c r="L79" s="156"/>
      <c r="M79" s="159"/>
      <c r="N79" s="52"/>
      <c r="O79" s="48"/>
      <c r="P79" s="48"/>
      <c r="Q79" s="53"/>
      <c r="R79" s="54"/>
      <c r="S79" s="54"/>
      <c r="T79" s="118"/>
      <c r="U79" s="160"/>
      <c r="V79" s="48"/>
      <c r="W79" s="48"/>
      <c r="X79" s="48"/>
      <c r="Y79" s="48"/>
      <c r="Z79" s="174">
        <v>0</v>
      </c>
      <c r="AA79" s="174">
        <v>0</v>
      </c>
      <c r="AB79" s="175"/>
      <c r="AC79" s="175"/>
      <c r="AD79" s="175"/>
      <c r="AE79" s="176" t="s">
        <v>412</v>
      </c>
      <c r="AF79" s="48"/>
    </row>
    <row r="80" spans="1:34" s="41" customFormat="1" ht="17.100000000000001" hidden="1" customHeight="1">
      <c r="A80" s="595"/>
      <c r="B80" s="593"/>
      <c r="C80" s="593"/>
      <c r="D80" s="594"/>
      <c r="E80" s="177" t="s">
        <v>328</v>
      </c>
      <c r="F80" s="48" t="s">
        <v>329</v>
      </c>
      <c r="G80" s="48"/>
      <c r="H80" s="48" t="s">
        <v>330</v>
      </c>
      <c r="I80" s="178">
        <f>O81+O86+O87+O88+O89</f>
        <v>8.82</v>
      </c>
      <c r="J80" s="48"/>
      <c r="K80" s="167" t="s">
        <v>331</v>
      </c>
      <c r="L80" s="179">
        <v>1</v>
      </c>
      <c r="M80" s="167" t="s">
        <v>332</v>
      </c>
      <c r="N80" s="48"/>
      <c r="O80" s="180">
        <v>0.9</v>
      </c>
      <c r="P80" s="48"/>
      <c r="Q80" s="53"/>
      <c r="R80" s="54"/>
      <c r="S80" s="54"/>
      <c r="T80" s="118"/>
      <c r="U80" s="160"/>
      <c r="V80" s="48"/>
      <c r="W80" s="48"/>
      <c r="X80" s="48"/>
      <c r="Y80" s="181" t="s">
        <v>333</v>
      </c>
      <c r="Z80" s="182">
        <v>0</v>
      </c>
      <c r="AA80" s="182">
        <v>0</v>
      </c>
      <c r="AB80" s="183">
        <v>0</v>
      </c>
      <c r="AC80" s="48"/>
      <c r="AD80" s="48"/>
      <c r="AE80" s="48"/>
      <c r="AF80" s="48"/>
    </row>
    <row r="81" spans="1:34" s="41" customFormat="1" ht="17.100000000000001" hidden="1" customHeight="1">
      <c r="A81" s="595"/>
      <c r="B81" s="593"/>
      <c r="C81" s="593"/>
      <c r="D81" s="594"/>
      <c r="E81" s="165"/>
      <c r="F81" s="166" t="s">
        <v>334</v>
      </c>
      <c r="G81" s="184" t="s">
        <v>335</v>
      </c>
      <c r="H81" s="167"/>
      <c r="I81" s="172" t="s">
        <v>336</v>
      </c>
      <c r="J81" s="87" t="s">
        <v>391</v>
      </c>
      <c r="K81" s="166"/>
      <c r="L81" s="167"/>
      <c r="M81" s="166"/>
      <c r="N81" s="166" t="s">
        <v>338</v>
      </c>
      <c r="O81" s="185">
        <f>INT((I82*M82)/(60*I83)*100)/100</f>
        <v>6</v>
      </c>
      <c r="P81" s="159" t="s">
        <v>339</v>
      </c>
      <c r="Q81" s="53"/>
      <c r="R81" s="54"/>
      <c r="S81" s="54"/>
      <c r="T81" s="118"/>
      <c r="U81" s="160"/>
      <c r="V81" s="48"/>
      <c r="W81" s="48"/>
      <c r="X81" s="48"/>
      <c r="Y81" s="177"/>
      <c r="Z81" s="167" t="s">
        <v>408</v>
      </c>
      <c r="AA81" s="167">
        <v>0</v>
      </c>
      <c r="AB81" s="48" t="s">
        <v>409</v>
      </c>
      <c r="AC81" s="48"/>
      <c r="AD81" s="48"/>
      <c r="AE81" s="48"/>
      <c r="AF81" s="48"/>
    </row>
    <row r="82" spans="1:34" s="41" customFormat="1" ht="17.100000000000001" hidden="1" customHeight="1">
      <c r="A82" s="163"/>
      <c r="B82" s="47"/>
      <c r="C82" s="47"/>
      <c r="D82" s="164"/>
      <c r="E82" s="186"/>
      <c r="F82" s="159"/>
      <c r="G82" s="187"/>
      <c r="H82" s="188" t="s">
        <v>340</v>
      </c>
      <c r="I82" s="189">
        <v>15</v>
      </c>
      <c r="J82" s="190" t="s">
        <v>392</v>
      </c>
      <c r="K82" s="191" t="s">
        <v>342</v>
      </c>
      <c r="L82" s="184"/>
      <c r="M82" s="191">
        <f>INT(O83/(M84*M85)*100)/100</f>
        <v>15.62</v>
      </c>
      <c r="N82" s="48"/>
      <c r="O82" s="190"/>
      <c r="P82" s="52"/>
      <c r="Q82" s="53"/>
      <c r="R82" s="54"/>
      <c r="S82" s="54"/>
      <c r="T82" s="118"/>
      <c r="U82" s="160"/>
      <c r="V82" s="48"/>
      <c r="W82" s="48"/>
      <c r="X82" s="48"/>
      <c r="Y82" s="181" t="s">
        <v>333</v>
      </c>
      <c r="Z82" s="182" t="s">
        <v>410</v>
      </c>
      <c r="AA82" s="182" t="s">
        <v>411</v>
      </c>
      <c r="AB82" s="183">
        <v>0</v>
      </c>
      <c r="AC82" s="48"/>
      <c r="AD82" s="48"/>
      <c r="AE82" s="48"/>
      <c r="AF82" s="48"/>
    </row>
    <row r="83" spans="1:34" s="41" customFormat="1" ht="17.100000000000001" hidden="1" customHeight="1">
      <c r="A83" s="163"/>
      <c r="B83" s="47"/>
      <c r="C83" s="47"/>
      <c r="D83" s="164"/>
      <c r="E83" s="186"/>
      <c r="F83" s="159"/>
      <c r="G83" s="191"/>
      <c r="H83" s="188" t="s">
        <v>343</v>
      </c>
      <c r="I83" s="189">
        <v>0.65</v>
      </c>
      <c r="J83" s="190"/>
      <c r="K83" s="192" t="s">
        <v>393</v>
      </c>
      <c r="L83" s="48"/>
      <c r="M83" s="48"/>
      <c r="N83" s="166" t="s">
        <v>338</v>
      </c>
      <c r="O83" s="193">
        <f>(A77/X83)*1</f>
        <v>1.25</v>
      </c>
      <c r="P83" s="52"/>
      <c r="Q83" s="53"/>
      <c r="R83" s="54"/>
      <c r="S83" s="54"/>
      <c r="T83" s="118"/>
      <c r="U83" s="160"/>
      <c r="V83" s="48"/>
      <c r="W83" s="194" t="s">
        <v>394</v>
      </c>
      <c r="X83" s="195">
        <v>0.8</v>
      </c>
      <c r="Y83" s="177"/>
      <c r="Z83" s="167">
        <v>7</v>
      </c>
      <c r="AA83" s="167">
        <v>8</v>
      </c>
      <c r="AB83" s="48" t="s">
        <v>413</v>
      </c>
      <c r="AC83" s="48"/>
      <c r="AD83" s="48"/>
      <c r="AE83" s="48"/>
      <c r="AF83" s="48"/>
    </row>
    <row r="84" spans="1:34" s="41" customFormat="1" ht="17.100000000000001" hidden="1" customHeight="1">
      <c r="A84" s="163"/>
      <c r="B84" s="47"/>
      <c r="C84" s="47"/>
      <c r="D84" s="164"/>
      <c r="E84" s="186"/>
      <c r="F84" s="159"/>
      <c r="G84" s="191"/>
      <c r="H84" s="188"/>
      <c r="I84" s="188"/>
      <c r="J84" s="196"/>
      <c r="K84" s="192" t="s">
        <v>346</v>
      </c>
      <c r="L84" s="48"/>
      <c r="M84" s="197">
        <v>0.08</v>
      </c>
      <c r="N84" s="191"/>
      <c r="O84" s="177"/>
      <c r="P84" s="52"/>
      <c r="Q84" s="53"/>
      <c r="R84" s="54"/>
      <c r="S84" s="54"/>
      <c r="T84" s="118"/>
      <c r="U84" s="160"/>
      <c r="V84" s="48"/>
      <c r="W84" s="198" t="s">
        <v>347</v>
      </c>
      <c r="X84" s="199"/>
      <c r="Y84" s="177"/>
      <c r="Z84" s="167">
        <v>10</v>
      </c>
      <c r="AA84" s="167">
        <v>15</v>
      </c>
      <c r="AB84" s="48" t="s">
        <v>414</v>
      </c>
      <c r="AC84" s="48"/>
      <c r="AD84" s="48"/>
      <c r="AE84" s="48"/>
      <c r="AF84" s="48"/>
    </row>
    <row r="85" spans="1:34" s="41" customFormat="1" ht="17.100000000000001" hidden="1" customHeight="1">
      <c r="A85" s="163"/>
      <c r="B85" s="47"/>
      <c r="C85" s="47"/>
      <c r="D85" s="164"/>
      <c r="E85" s="186"/>
      <c r="F85" s="159"/>
      <c r="G85" s="191"/>
      <c r="H85" s="188"/>
      <c r="I85" s="188"/>
      <c r="J85" s="196"/>
      <c r="K85" s="192" t="s">
        <v>348</v>
      </c>
      <c r="L85" s="48"/>
      <c r="M85" s="200">
        <v>1</v>
      </c>
      <c r="N85" s="201"/>
      <c r="O85" s="177"/>
      <c r="P85" s="52"/>
      <c r="Q85" s="53"/>
      <c r="R85" s="54"/>
      <c r="S85" s="54"/>
      <c r="T85" s="118"/>
      <c r="U85" s="160"/>
      <c r="V85" s="48"/>
      <c r="Y85" s="177"/>
      <c r="Z85" s="167">
        <v>15</v>
      </c>
      <c r="AA85" s="167">
        <v>20</v>
      </c>
      <c r="AB85" s="48" t="s">
        <v>415</v>
      </c>
      <c r="AC85" s="48"/>
      <c r="AD85" s="48"/>
      <c r="AE85" s="48"/>
      <c r="AF85" s="48"/>
    </row>
    <row r="86" spans="1:34" s="41" customFormat="1" ht="17.100000000000001" hidden="1" customHeight="1">
      <c r="A86" s="163"/>
      <c r="B86" s="47"/>
      <c r="C86" s="47"/>
      <c r="D86" s="164"/>
      <c r="E86" s="186"/>
      <c r="F86" s="167" t="s">
        <v>349</v>
      </c>
      <c r="G86" s="184" t="s">
        <v>395</v>
      </c>
      <c r="H86" s="167"/>
      <c r="I86" s="202"/>
      <c r="J86" s="167"/>
      <c r="K86" s="166"/>
      <c r="L86" s="184"/>
      <c r="M86" s="184"/>
      <c r="N86" s="203" t="s">
        <v>351</v>
      </c>
      <c r="O86" s="204">
        <f>INT(((L76/L77+(L76/L78))*60*100))/100</f>
        <v>1.6</v>
      </c>
      <c r="P86" s="159" t="s">
        <v>339</v>
      </c>
      <c r="Q86" s="53"/>
      <c r="R86" s="54"/>
      <c r="S86" s="54"/>
      <c r="T86" s="118"/>
      <c r="U86" s="160"/>
      <c r="V86" s="48"/>
      <c r="Y86" s="177"/>
      <c r="Z86" s="167">
        <v>30</v>
      </c>
      <c r="AA86" s="167">
        <v>35</v>
      </c>
      <c r="AB86" s="48" t="s">
        <v>416</v>
      </c>
      <c r="AC86" s="48"/>
      <c r="AD86" s="48"/>
      <c r="AE86" s="48"/>
      <c r="AF86" s="48"/>
    </row>
    <row r="87" spans="1:34" s="41" customFormat="1" ht="17.100000000000001" hidden="1" customHeight="1">
      <c r="A87" s="163"/>
      <c r="B87" s="47"/>
      <c r="C87" s="47"/>
      <c r="D87" s="164"/>
      <c r="E87" s="48"/>
      <c r="F87" s="48" t="s">
        <v>352</v>
      </c>
      <c r="G87" s="48" t="s">
        <v>353</v>
      </c>
      <c r="H87" s="48"/>
      <c r="I87" s="48"/>
      <c r="J87" s="48"/>
      <c r="K87" s="48"/>
      <c r="L87" s="48"/>
      <c r="M87" s="48"/>
      <c r="N87" s="203" t="s">
        <v>351</v>
      </c>
      <c r="O87" s="204">
        <v>0.8</v>
      </c>
      <c r="P87" s="52" t="s">
        <v>339</v>
      </c>
      <c r="Q87" s="53"/>
      <c r="R87" s="54"/>
      <c r="S87" s="54"/>
      <c r="T87" s="118"/>
      <c r="U87" s="160"/>
      <c r="V87" s="48"/>
      <c r="W87" s="48"/>
      <c r="X87" s="48"/>
      <c r="Y87" s="177"/>
      <c r="Z87" s="167">
        <v>20</v>
      </c>
      <c r="AA87" s="167">
        <v>25</v>
      </c>
      <c r="AB87" s="48" t="s">
        <v>417</v>
      </c>
      <c r="AC87" s="48"/>
      <c r="AD87" s="48"/>
      <c r="AE87" s="48"/>
      <c r="AF87" s="48"/>
    </row>
    <row r="88" spans="1:34" s="41" customFormat="1" ht="17.100000000000001" hidden="1" customHeight="1">
      <c r="A88" s="163"/>
      <c r="B88" s="47"/>
      <c r="C88" s="47"/>
      <c r="D88" s="164"/>
      <c r="E88" s="48"/>
      <c r="F88" s="48" t="s">
        <v>354</v>
      </c>
      <c r="G88" s="48" t="s">
        <v>355</v>
      </c>
      <c r="H88" s="48"/>
      <c r="I88" s="48"/>
      <c r="J88" s="48"/>
      <c r="K88" s="48"/>
      <c r="L88" s="48"/>
      <c r="M88" s="48"/>
      <c r="N88" s="203" t="s">
        <v>351</v>
      </c>
      <c r="O88" s="204">
        <v>0.42</v>
      </c>
      <c r="P88" s="52" t="s">
        <v>339</v>
      </c>
      <c r="Q88" s="53"/>
      <c r="R88" s="54"/>
      <c r="S88" s="54"/>
      <c r="T88" s="118"/>
      <c r="U88" s="160"/>
      <c r="V88" s="48"/>
      <c r="W88" s="48"/>
      <c r="X88" s="48"/>
      <c r="Y88" s="205" t="s">
        <v>356</v>
      </c>
      <c r="Z88" s="206">
        <v>20</v>
      </c>
      <c r="AA88" s="206">
        <v>25</v>
      </c>
      <c r="AB88" s="207" t="s">
        <v>418</v>
      </c>
      <c r="AC88" s="48"/>
      <c r="AD88" s="48"/>
      <c r="AE88" s="48"/>
      <c r="AF88" s="48"/>
    </row>
    <row r="89" spans="1:34" s="41" customFormat="1" ht="17.100000000000001" hidden="1" customHeight="1">
      <c r="A89" s="163"/>
      <c r="B89" s="47"/>
      <c r="C89" s="47"/>
      <c r="D89" s="164"/>
      <c r="E89" s="48"/>
      <c r="F89" s="48"/>
      <c r="G89" s="48"/>
      <c r="H89" s="48"/>
      <c r="I89" s="48"/>
      <c r="J89" s="48"/>
      <c r="K89" s="48"/>
      <c r="L89" s="48"/>
      <c r="M89" s="48"/>
      <c r="N89" s="203"/>
      <c r="O89" s="208"/>
      <c r="P89" s="52"/>
      <c r="Q89" s="209"/>
      <c r="R89" s="210"/>
      <c r="S89" s="210"/>
      <c r="T89" s="211"/>
      <c r="U89" s="160"/>
      <c r="V89" s="48"/>
      <c r="W89" s="48"/>
      <c r="X89" s="48"/>
      <c r="Y89" s="205" t="s">
        <v>356</v>
      </c>
      <c r="Z89" s="206">
        <v>25</v>
      </c>
      <c r="AA89" s="206">
        <v>30</v>
      </c>
      <c r="AB89" s="207" t="s">
        <v>419</v>
      </c>
      <c r="AC89" s="48"/>
      <c r="AD89" s="48"/>
      <c r="AE89" s="48"/>
      <c r="AF89" s="48"/>
    </row>
    <row r="90" spans="1:34" s="41" customFormat="1" ht="17.100000000000001" hidden="1" customHeight="1">
      <c r="A90" s="163"/>
      <c r="B90" s="47"/>
      <c r="C90" s="47"/>
      <c r="D90" s="164"/>
      <c r="E90" s="48"/>
      <c r="F90" s="48"/>
      <c r="G90" s="48"/>
      <c r="H90" s="48"/>
      <c r="I90" s="48"/>
      <c r="J90" s="48"/>
      <c r="K90" s="48"/>
      <c r="L90" s="48"/>
      <c r="M90" s="48"/>
      <c r="N90" s="203"/>
      <c r="O90" s="208"/>
      <c r="P90" s="52"/>
      <c r="Q90" s="209"/>
      <c r="R90" s="210"/>
      <c r="S90" s="210"/>
      <c r="T90" s="211"/>
      <c r="U90" s="160"/>
      <c r="V90" s="163"/>
      <c r="W90" s="48"/>
      <c r="X90" s="48"/>
      <c r="Y90" s="48"/>
      <c r="Z90" s="167">
        <v>30</v>
      </c>
      <c r="AA90" s="167">
        <v>35</v>
      </c>
      <c r="AB90" s="48" t="s">
        <v>420</v>
      </c>
      <c r="AC90" s="48"/>
      <c r="AD90" s="48"/>
      <c r="AE90" s="48"/>
      <c r="AF90" s="48"/>
    </row>
    <row r="91" spans="1:34" s="41" customFormat="1" ht="17.100000000000001" hidden="1" customHeight="1">
      <c r="A91" s="163"/>
      <c r="B91" s="47"/>
      <c r="C91" s="47"/>
      <c r="D91" s="164"/>
      <c r="E91" s="186" t="s">
        <v>357</v>
      </c>
      <c r="F91" s="212"/>
      <c r="G91" s="212"/>
      <c r="H91" s="212"/>
      <c r="I91" s="212"/>
      <c r="J91" s="212"/>
      <c r="K91" s="212"/>
      <c r="L91" s="212"/>
      <c r="M91" s="166"/>
      <c r="N91" s="166"/>
      <c r="O91" s="213"/>
      <c r="P91" s="48"/>
      <c r="Q91" s="209"/>
      <c r="R91" s="210"/>
      <c r="S91" s="210"/>
      <c r="T91" s="211"/>
      <c r="U91" s="160"/>
      <c r="V91" s="163"/>
      <c r="W91" s="48"/>
      <c r="X91" s="48"/>
      <c r="Y91" s="48"/>
      <c r="Z91" s="167">
        <v>30</v>
      </c>
      <c r="AA91" s="167">
        <v>35</v>
      </c>
      <c r="AB91" s="48" t="s">
        <v>421</v>
      </c>
      <c r="AC91" s="48"/>
      <c r="AD91" s="48"/>
      <c r="AE91" s="48"/>
      <c r="AF91" s="48"/>
    </row>
    <row r="92" spans="1:34" s="41" customFormat="1" ht="17.100000000000001" hidden="1" customHeight="1">
      <c r="A92" s="163"/>
      <c r="B92" s="47"/>
      <c r="C92" s="47"/>
      <c r="D92" s="164"/>
      <c r="E92" s="165"/>
      <c r="F92" s="156" t="s">
        <v>358</v>
      </c>
      <c r="G92" s="95" t="s">
        <v>359</v>
      </c>
      <c r="H92" s="166"/>
      <c r="I92" s="168"/>
      <c r="J92" s="166"/>
      <c r="K92" s="168">
        <f>INT(60*O83*L80*O80/I80*100)/100</f>
        <v>7.65</v>
      </c>
      <c r="L92" s="159" t="s">
        <v>360</v>
      </c>
      <c r="M92" s="159"/>
      <c r="N92" s="159"/>
      <c r="O92" s="213"/>
      <c r="P92" s="52"/>
      <c r="Q92" s="53"/>
      <c r="R92" s="54"/>
      <c r="S92" s="54"/>
      <c r="T92" s="118"/>
      <c r="U92" s="160"/>
      <c r="V92" s="163"/>
      <c r="W92" s="48"/>
      <c r="X92" s="48"/>
      <c r="Y92" s="48"/>
      <c r="Z92" s="167">
        <v>30</v>
      </c>
      <c r="AA92" s="167">
        <v>35</v>
      </c>
      <c r="AB92" s="48" t="s">
        <v>422</v>
      </c>
      <c r="AC92" s="48"/>
      <c r="AD92" s="48"/>
      <c r="AE92" s="48"/>
      <c r="AF92" s="48"/>
    </row>
    <row r="93" spans="1:34" s="41" customFormat="1" ht="17.100000000000001" hidden="1" customHeight="1">
      <c r="A93" s="163"/>
      <c r="B93" s="47"/>
      <c r="C93" s="47"/>
      <c r="D93" s="164"/>
      <c r="E93" s="165"/>
      <c r="F93" s="156"/>
      <c r="G93" s="95"/>
      <c r="H93" s="166"/>
      <c r="I93" s="168"/>
      <c r="J93" s="166"/>
      <c r="K93" s="168"/>
      <c r="L93" s="159"/>
      <c r="M93" s="159"/>
      <c r="N93" s="159"/>
      <c r="O93" s="213"/>
      <c r="P93" s="52"/>
      <c r="Q93" s="53"/>
      <c r="R93" s="54"/>
      <c r="S93" s="54"/>
      <c r="T93" s="118"/>
      <c r="U93" s="160"/>
      <c r="V93" s="163"/>
      <c r="W93" s="48"/>
      <c r="X93" s="48"/>
      <c r="Y93" s="48"/>
      <c r="Z93" s="167">
        <v>35</v>
      </c>
      <c r="AA93" s="167">
        <v>35</v>
      </c>
      <c r="AB93" s="48" t="s">
        <v>423</v>
      </c>
      <c r="AC93" s="48"/>
      <c r="AD93" s="48"/>
      <c r="AE93" s="48"/>
      <c r="AF93" s="48"/>
    </row>
    <row r="94" spans="1:34" s="41" customFormat="1" ht="17.100000000000001" hidden="1" customHeight="1">
      <c r="A94" s="163"/>
      <c r="B94" s="47"/>
      <c r="C94" s="47"/>
      <c r="D94" s="164"/>
      <c r="E94" s="186"/>
      <c r="F94" s="159"/>
      <c r="G94" s="214"/>
      <c r="H94" s="159"/>
      <c r="I94" s="159"/>
      <c r="J94" s="159"/>
      <c r="K94" s="159"/>
      <c r="L94" s="159"/>
      <c r="M94" s="159"/>
      <c r="N94" s="159"/>
      <c r="O94" s="213"/>
      <c r="P94" s="52"/>
      <c r="Q94" s="53"/>
      <c r="R94" s="54"/>
      <c r="S94" s="54"/>
      <c r="T94" s="118"/>
      <c r="U94" s="160"/>
      <c r="V94" s="163"/>
      <c r="W94" s="48"/>
      <c r="X94" s="48"/>
      <c r="Y94" s="48"/>
      <c r="Z94" s="48"/>
      <c r="AA94" s="48"/>
      <c r="AB94" s="48"/>
      <c r="AC94" s="48"/>
      <c r="AD94" s="48"/>
      <c r="AE94" s="48"/>
      <c r="AF94" s="48"/>
    </row>
    <row r="95" spans="1:34" s="41" customFormat="1" ht="17.100000000000001" hidden="1" customHeight="1">
      <c r="A95" s="163"/>
      <c r="B95" s="47"/>
      <c r="C95" s="47"/>
      <c r="D95" s="164"/>
      <c r="E95" s="186" t="s">
        <v>396</v>
      </c>
      <c r="F95" s="159"/>
      <c r="G95" s="159"/>
      <c r="H95" s="159"/>
      <c r="I95" s="159"/>
      <c r="J95" s="159"/>
      <c r="K95" s="159"/>
      <c r="L95" s="159"/>
      <c r="M95" s="159"/>
      <c r="N95" s="159"/>
      <c r="O95" s="215"/>
      <c r="P95" s="52"/>
      <c r="Q95" s="53"/>
      <c r="R95" s="54"/>
      <c r="S95" s="54"/>
      <c r="T95" s="118"/>
      <c r="U95" s="160"/>
      <c r="V95" s="163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216"/>
      <c r="AH95" s="216"/>
    </row>
    <row r="96" spans="1:34" s="41" customFormat="1" ht="17.100000000000001" hidden="1" customHeight="1">
      <c r="A96" s="163"/>
      <c r="B96" s="47"/>
      <c r="C96" s="47"/>
      <c r="D96" s="164"/>
      <c r="E96" s="186"/>
      <c r="F96" s="159" t="s">
        <v>297</v>
      </c>
      <c r="G96" s="159"/>
      <c r="H96" s="159"/>
      <c r="I96" s="159"/>
      <c r="J96" s="217">
        <v>36713</v>
      </c>
      <c r="K96" s="166" t="s">
        <v>298</v>
      </c>
      <c r="L96" s="218">
        <f>K92</f>
        <v>7.65</v>
      </c>
      <c r="M96" s="159"/>
      <c r="N96" s="166" t="s">
        <v>299</v>
      </c>
      <c r="O96" s="219">
        <f>IFERROR(INT(J96/L96*10)/10,0)</f>
        <v>4799</v>
      </c>
      <c r="P96" s="52" t="s">
        <v>152</v>
      </c>
      <c r="Q96" s="105">
        <f>+O96</f>
        <v>4799</v>
      </c>
      <c r="R96" s="106"/>
      <c r="S96" s="106"/>
      <c r="T96" s="107">
        <f>ROUNDDOWN(Q96+R96+S96,1)</f>
        <v>4799</v>
      </c>
      <c r="U96" s="160"/>
      <c r="V96" s="163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216"/>
      <c r="AH96" s="216"/>
    </row>
    <row r="97" spans="1:32" s="41" customFormat="1" ht="17.100000000000001" hidden="1" customHeight="1">
      <c r="A97" s="163"/>
      <c r="B97" s="47"/>
      <c r="C97" s="47"/>
      <c r="D97" s="164"/>
      <c r="E97" s="186"/>
      <c r="F97" s="159" t="s">
        <v>302</v>
      </c>
      <c r="G97" s="159"/>
      <c r="H97" s="159"/>
      <c r="I97" s="159"/>
      <c r="J97" s="217">
        <v>4159</v>
      </c>
      <c r="K97" s="166" t="s">
        <v>298</v>
      </c>
      <c r="L97" s="218">
        <f>K92</f>
        <v>7.65</v>
      </c>
      <c r="M97" s="159"/>
      <c r="N97" s="166" t="s">
        <v>299</v>
      </c>
      <c r="O97" s="219">
        <f>IFERROR(INT(J97/L97*10)/10,0)</f>
        <v>543.6</v>
      </c>
      <c r="P97" s="52" t="s">
        <v>152</v>
      </c>
      <c r="Q97" s="105"/>
      <c r="R97" s="106">
        <f>+O97</f>
        <v>543.6</v>
      </c>
      <c r="S97" s="106"/>
      <c r="T97" s="107">
        <f>ROUNDDOWN(Q97+R97+S97,1)</f>
        <v>543.6</v>
      </c>
      <c r="U97" s="160"/>
      <c r="V97" s="163"/>
      <c r="W97" s="48"/>
      <c r="X97" s="48"/>
      <c r="Y97" s="48"/>
      <c r="Z97" s="48"/>
      <c r="AA97" s="48"/>
      <c r="AB97" s="48"/>
      <c r="AC97" s="48"/>
      <c r="AD97" s="48"/>
      <c r="AE97" s="48"/>
      <c r="AF97" s="48"/>
    </row>
    <row r="98" spans="1:32" s="41" customFormat="1" ht="17.100000000000001" hidden="1" customHeight="1">
      <c r="A98" s="240"/>
      <c r="B98" s="241"/>
      <c r="C98" s="241"/>
      <c r="D98" s="242"/>
      <c r="E98" s="243"/>
      <c r="F98" s="244" t="s">
        <v>305</v>
      </c>
      <c r="G98" s="244"/>
      <c r="H98" s="244"/>
      <c r="I98" s="244"/>
      <c r="J98" s="245">
        <v>5815</v>
      </c>
      <c r="K98" s="246" t="s">
        <v>298</v>
      </c>
      <c r="L98" s="247">
        <f>K92</f>
        <v>7.65</v>
      </c>
      <c r="M98" s="244"/>
      <c r="N98" s="246" t="s">
        <v>299</v>
      </c>
      <c r="O98" s="248">
        <f>IFERROR(INT(J98/L98*10)/10,0)</f>
        <v>760.1</v>
      </c>
      <c r="P98" s="123" t="s">
        <v>152</v>
      </c>
      <c r="Q98" s="249"/>
      <c r="R98" s="250"/>
      <c r="S98" s="250">
        <f>+O98</f>
        <v>760.1</v>
      </c>
      <c r="T98" s="251">
        <f>ROUNDDOWN(Q98+R98+S98,1)</f>
        <v>760.1</v>
      </c>
      <c r="U98" s="252"/>
      <c r="V98" s="163"/>
      <c r="W98" s="48"/>
      <c r="X98" s="48"/>
      <c r="Y98" s="48"/>
      <c r="Z98" s="48"/>
      <c r="AA98" s="48"/>
      <c r="AB98" s="48"/>
      <c r="AC98" s="48"/>
      <c r="AD98" s="48"/>
      <c r="AE98" s="48"/>
      <c r="AF98" s="48"/>
    </row>
    <row r="99" spans="1:32" s="41" customFormat="1" ht="27" hidden="1" customHeight="1">
      <c r="A99" s="220"/>
      <c r="B99" s="603"/>
      <c r="C99" s="603"/>
      <c r="D99" s="221"/>
      <c r="E99" s="253"/>
      <c r="F99" s="254" t="s">
        <v>397</v>
      </c>
      <c r="G99" s="255"/>
      <c r="H99" s="254"/>
      <c r="I99" s="254"/>
      <c r="J99" s="254"/>
      <c r="K99" s="254"/>
      <c r="L99" s="223"/>
      <c r="M99" s="223"/>
      <c r="N99" s="223"/>
      <c r="O99" s="223"/>
      <c r="P99" s="223"/>
      <c r="Q99" s="225">
        <f>ROUNDDOWN(SUM(Q96:Q98),0)</f>
        <v>4799</v>
      </c>
      <c r="R99" s="226">
        <f>ROUNDDOWN(SUM(R96:R98),0)</f>
        <v>543</v>
      </c>
      <c r="S99" s="226">
        <f>ROUNDDOWN(SUM(S96:S98),0)</f>
        <v>760</v>
      </c>
      <c r="T99" s="227">
        <f>Q99+R99+S99</f>
        <v>6102</v>
      </c>
      <c r="U99" s="228"/>
      <c r="V99" s="163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</row>
    <row r="100" spans="1:32" s="41" customFormat="1" ht="27" hidden="1" customHeight="1">
      <c r="A100" s="229"/>
      <c r="B100" s="606" t="s">
        <v>363</v>
      </c>
      <c r="C100" s="606"/>
      <c r="D100" s="230"/>
      <c r="E100" s="231"/>
      <c r="F100" s="232"/>
      <c r="G100" s="233"/>
      <c r="H100" s="232"/>
      <c r="I100" s="232"/>
      <c r="J100" s="232"/>
      <c r="K100" s="232"/>
      <c r="L100" s="232"/>
      <c r="M100" s="232"/>
      <c r="N100" s="232"/>
      <c r="O100" s="232"/>
      <c r="P100" s="232"/>
      <c r="Q100" s="234">
        <f>Q99+Q69</f>
        <v>5986</v>
      </c>
      <c r="R100" s="235">
        <f>R69+R99</f>
        <v>756</v>
      </c>
      <c r="S100" s="235">
        <f>S69+S99</f>
        <v>1195</v>
      </c>
      <c r="T100" s="236">
        <f>T69+T99</f>
        <v>7937</v>
      </c>
      <c r="U100" s="237"/>
      <c r="V100" s="163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</row>
  </sheetData>
  <mergeCells count="50">
    <mergeCell ref="B100:C100"/>
    <mergeCell ref="A75:D76"/>
    <mergeCell ref="E76:E77"/>
    <mergeCell ref="F76:G77"/>
    <mergeCell ref="H76:H77"/>
    <mergeCell ref="O76:O77"/>
    <mergeCell ref="A77:D77"/>
    <mergeCell ref="Z78:AA78"/>
    <mergeCell ref="A79:D81"/>
    <mergeCell ref="B99:C99"/>
    <mergeCell ref="I76:I77"/>
    <mergeCell ref="J76:J77"/>
    <mergeCell ref="A56:D56"/>
    <mergeCell ref="A58:D60"/>
    <mergeCell ref="E60:F60"/>
    <mergeCell ref="W62:Z63"/>
    <mergeCell ref="A74:D74"/>
    <mergeCell ref="E74:P74"/>
    <mergeCell ref="L62:M62"/>
    <mergeCell ref="A51:U51"/>
    <mergeCell ref="A52:U52"/>
    <mergeCell ref="A53:D53"/>
    <mergeCell ref="E53:P53"/>
    <mergeCell ref="A54:D55"/>
    <mergeCell ref="E54:K54"/>
    <mergeCell ref="B50:C50"/>
    <mergeCell ref="A25:D26"/>
    <mergeCell ref="E26:E27"/>
    <mergeCell ref="F26:G27"/>
    <mergeCell ref="H26:H27"/>
    <mergeCell ref="O26:O27"/>
    <mergeCell ref="A27:D27"/>
    <mergeCell ref="Z28:AA28"/>
    <mergeCell ref="A29:D31"/>
    <mergeCell ref="B49:C49"/>
    <mergeCell ref="I26:I27"/>
    <mergeCell ref="J26:J27"/>
    <mergeCell ref="A6:D6"/>
    <mergeCell ref="A8:D10"/>
    <mergeCell ref="E10:F10"/>
    <mergeCell ref="W12:Z13"/>
    <mergeCell ref="A24:D24"/>
    <mergeCell ref="E24:P24"/>
    <mergeCell ref="L12:M12"/>
    <mergeCell ref="A1:U1"/>
    <mergeCell ref="A2:U2"/>
    <mergeCell ref="A3:D3"/>
    <mergeCell ref="E3:P3"/>
    <mergeCell ref="A4:D5"/>
    <mergeCell ref="E4:K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1"/>
  <sheetViews>
    <sheetView workbookViewId="0">
      <selection activeCell="A44" sqref="A44"/>
    </sheetView>
  </sheetViews>
  <sheetFormatPr defaultColWidth="21.5703125" defaultRowHeight="12"/>
  <cols>
    <col min="1" max="1" width="33.42578125" style="437" bestFit="1" customWidth="1"/>
    <col min="2" max="2" width="32" style="437" bestFit="1" customWidth="1"/>
    <col min="3" max="3" width="8" style="437" customWidth="1"/>
    <col min="4" max="4" width="9.42578125" style="437" customWidth="1"/>
    <col min="5" max="5" width="18" style="449" customWidth="1"/>
    <col min="6" max="6" width="9.42578125" style="449" customWidth="1"/>
    <col min="7" max="7" width="17.5703125" style="449" bestFit="1" customWidth="1"/>
    <col min="8" max="8" width="9.42578125" style="449" customWidth="1"/>
    <col min="9" max="9" width="17.5703125" style="449" bestFit="1" customWidth="1"/>
    <col min="10" max="10" width="9.140625" style="449" customWidth="1"/>
    <col min="11" max="11" width="16.42578125" style="449" bestFit="1" customWidth="1"/>
    <col min="12" max="12" width="5.5703125" style="450" bestFit="1" customWidth="1"/>
    <col min="13" max="13" width="9.42578125" style="437" bestFit="1" customWidth="1"/>
    <col min="14" max="255" width="9.140625" style="437" customWidth="1"/>
    <col min="256" max="16384" width="21.5703125" style="437"/>
  </cols>
  <sheetData>
    <row r="1" spans="1:256" ht="33.75">
      <c r="A1" s="472" t="s">
        <v>120</v>
      </c>
      <c r="B1" s="473"/>
      <c r="C1" s="473"/>
      <c r="D1" s="473"/>
      <c r="E1" s="474"/>
      <c r="F1" s="475"/>
      <c r="G1" s="474"/>
      <c r="H1" s="474"/>
      <c r="I1" s="475"/>
      <c r="J1" s="475"/>
      <c r="K1" s="475"/>
      <c r="L1" s="47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  <c r="AI1" s="436"/>
      <c r="AJ1" s="436"/>
      <c r="AK1" s="436"/>
      <c r="AL1" s="436"/>
      <c r="AM1" s="436"/>
      <c r="AN1" s="436"/>
      <c r="AO1" s="436"/>
      <c r="AP1" s="436"/>
      <c r="AQ1" s="436"/>
      <c r="AR1" s="436"/>
      <c r="AS1" s="436"/>
      <c r="AT1" s="436"/>
      <c r="AU1" s="436"/>
      <c r="AV1" s="436"/>
      <c r="AW1" s="436"/>
      <c r="AX1" s="436"/>
      <c r="AY1" s="436"/>
      <c r="AZ1" s="436"/>
      <c r="BA1" s="436"/>
      <c r="BB1" s="436"/>
      <c r="BC1" s="436"/>
      <c r="BD1" s="436"/>
      <c r="BE1" s="436"/>
      <c r="BF1" s="436"/>
      <c r="BG1" s="436"/>
      <c r="BH1" s="436"/>
      <c r="BI1" s="436"/>
      <c r="BJ1" s="436"/>
      <c r="BK1" s="436"/>
      <c r="BL1" s="436"/>
      <c r="BM1" s="436"/>
      <c r="BN1" s="436"/>
      <c r="BO1" s="436"/>
      <c r="BP1" s="436"/>
      <c r="BQ1" s="436"/>
      <c r="BR1" s="436"/>
      <c r="BS1" s="436"/>
      <c r="BT1" s="436"/>
      <c r="BU1" s="436"/>
      <c r="BV1" s="436"/>
      <c r="BW1" s="436"/>
      <c r="BX1" s="436"/>
      <c r="BY1" s="436"/>
      <c r="BZ1" s="436"/>
      <c r="CA1" s="436"/>
      <c r="CB1" s="436"/>
      <c r="CC1" s="436"/>
      <c r="CD1" s="436"/>
      <c r="CE1" s="436"/>
      <c r="CF1" s="436"/>
      <c r="CG1" s="436"/>
      <c r="CH1" s="436"/>
      <c r="CI1" s="436"/>
      <c r="CJ1" s="436"/>
      <c r="CK1" s="436"/>
      <c r="CL1" s="436"/>
      <c r="CM1" s="436"/>
      <c r="CN1" s="436"/>
      <c r="CO1" s="436"/>
      <c r="CP1" s="436"/>
      <c r="CQ1" s="436"/>
      <c r="CR1" s="436"/>
      <c r="CS1" s="436"/>
      <c r="CT1" s="436"/>
      <c r="CU1" s="436"/>
      <c r="CV1" s="436"/>
      <c r="CW1" s="436"/>
      <c r="CX1" s="436"/>
      <c r="CY1" s="436"/>
      <c r="CZ1" s="436"/>
      <c r="DA1" s="436"/>
      <c r="DB1" s="436"/>
      <c r="DC1" s="436"/>
      <c r="DD1" s="436"/>
      <c r="DE1" s="436"/>
      <c r="DF1" s="436"/>
      <c r="DG1" s="436"/>
      <c r="DH1" s="436"/>
      <c r="DI1" s="436"/>
      <c r="DJ1" s="436"/>
      <c r="DK1" s="436"/>
      <c r="DL1" s="436"/>
      <c r="DM1" s="436"/>
      <c r="DN1" s="436"/>
      <c r="DO1" s="436"/>
      <c r="DP1" s="436"/>
      <c r="DQ1" s="436"/>
      <c r="DR1" s="436"/>
      <c r="DS1" s="436"/>
      <c r="DT1" s="436"/>
      <c r="DU1" s="436"/>
      <c r="DV1" s="436"/>
      <c r="DW1" s="436"/>
      <c r="DX1" s="436"/>
      <c r="DY1" s="436"/>
      <c r="DZ1" s="436"/>
      <c r="EA1" s="436"/>
      <c r="EB1" s="436"/>
      <c r="EC1" s="436"/>
      <c r="ED1" s="436"/>
      <c r="EE1" s="436"/>
      <c r="EF1" s="436"/>
      <c r="EG1" s="436"/>
      <c r="EH1" s="436"/>
      <c r="EI1" s="436"/>
      <c r="EJ1" s="436"/>
      <c r="EK1" s="436"/>
      <c r="EL1" s="436"/>
      <c r="EM1" s="436"/>
      <c r="EN1" s="436"/>
      <c r="EO1" s="436"/>
      <c r="EP1" s="436"/>
      <c r="EQ1" s="436"/>
      <c r="ER1" s="436"/>
      <c r="ES1" s="436"/>
      <c r="ET1" s="436"/>
      <c r="EU1" s="436"/>
      <c r="EV1" s="436"/>
      <c r="EW1" s="436"/>
      <c r="EX1" s="436"/>
      <c r="EY1" s="436"/>
      <c r="EZ1" s="436"/>
      <c r="FA1" s="436"/>
      <c r="FB1" s="436"/>
      <c r="FC1" s="436"/>
      <c r="FD1" s="436"/>
      <c r="FE1" s="436"/>
      <c r="FF1" s="436"/>
      <c r="FG1" s="436"/>
      <c r="FH1" s="436"/>
      <c r="FI1" s="436"/>
      <c r="FJ1" s="436"/>
      <c r="FK1" s="436"/>
      <c r="FL1" s="436"/>
      <c r="FM1" s="436"/>
      <c r="FN1" s="436"/>
      <c r="FO1" s="436"/>
      <c r="FP1" s="436"/>
      <c r="FQ1" s="436"/>
      <c r="FR1" s="436"/>
      <c r="FS1" s="436"/>
      <c r="FT1" s="436"/>
      <c r="FU1" s="436"/>
      <c r="FV1" s="436"/>
      <c r="FW1" s="436"/>
      <c r="FX1" s="436"/>
      <c r="FY1" s="436"/>
      <c r="FZ1" s="436"/>
      <c r="GA1" s="436"/>
      <c r="GB1" s="436"/>
      <c r="GC1" s="436"/>
      <c r="GD1" s="436"/>
      <c r="GE1" s="436"/>
      <c r="GF1" s="436"/>
      <c r="GG1" s="436"/>
      <c r="GH1" s="436"/>
      <c r="GI1" s="436"/>
      <c r="GJ1" s="436"/>
      <c r="GK1" s="436"/>
      <c r="GL1" s="436"/>
      <c r="GM1" s="436"/>
      <c r="GN1" s="436"/>
      <c r="GO1" s="436"/>
      <c r="GP1" s="436"/>
      <c r="GQ1" s="436"/>
      <c r="GR1" s="436"/>
      <c r="GS1" s="436"/>
      <c r="GT1" s="436"/>
      <c r="GU1" s="436"/>
      <c r="GV1" s="436"/>
      <c r="GW1" s="436"/>
      <c r="GX1" s="436"/>
      <c r="GY1" s="436"/>
      <c r="GZ1" s="436"/>
      <c r="HA1" s="436"/>
      <c r="HB1" s="436"/>
      <c r="HC1" s="436"/>
      <c r="HD1" s="436"/>
      <c r="HE1" s="436"/>
      <c r="HF1" s="436"/>
      <c r="HG1" s="436"/>
      <c r="HH1" s="436"/>
      <c r="HI1" s="436"/>
      <c r="HJ1" s="436"/>
      <c r="HK1" s="436"/>
      <c r="HL1" s="436"/>
      <c r="HM1" s="436"/>
      <c r="HN1" s="436"/>
      <c r="HO1" s="436"/>
      <c r="HP1" s="436"/>
      <c r="HQ1" s="436"/>
      <c r="HR1" s="436"/>
      <c r="HS1" s="436"/>
      <c r="HT1" s="436"/>
      <c r="HU1" s="436"/>
      <c r="HV1" s="436"/>
      <c r="HW1" s="436"/>
      <c r="HX1" s="436"/>
      <c r="HY1" s="436"/>
      <c r="HZ1" s="436"/>
      <c r="IA1" s="436"/>
      <c r="IB1" s="436"/>
      <c r="IC1" s="436"/>
      <c r="ID1" s="436"/>
      <c r="IE1" s="436"/>
      <c r="IF1" s="436"/>
      <c r="IG1" s="436"/>
      <c r="IH1" s="436"/>
      <c r="II1" s="436"/>
      <c r="IJ1" s="436"/>
      <c r="IK1" s="436"/>
      <c r="IL1" s="436"/>
      <c r="IM1" s="436"/>
      <c r="IN1" s="436"/>
      <c r="IO1" s="436"/>
      <c r="IP1" s="436"/>
      <c r="IQ1" s="436"/>
      <c r="IR1" s="436"/>
      <c r="IS1" s="436"/>
      <c r="IT1" s="436"/>
      <c r="IU1" s="436"/>
      <c r="IV1" s="436"/>
    </row>
    <row r="2" spans="1:256" ht="20.100000000000001" customHeight="1">
      <c r="A2" s="479" t="str">
        <f>원가계산서!A2</f>
        <v>공사명 : 고천동 고고리길 도로개설공사 중 대형목 벌목공사</v>
      </c>
      <c r="B2" s="478"/>
      <c r="C2" s="473"/>
      <c r="D2" s="473"/>
      <c r="E2" s="474"/>
      <c r="F2" s="475"/>
      <c r="G2" s="474"/>
      <c r="H2" s="474"/>
      <c r="I2" s="475"/>
      <c r="J2" s="475"/>
      <c r="K2" s="475"/>
      <c r="L2" s="47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</row>
    <row r="3" spans="1:256" ht="20.100000000000001" customHeight="1">
      <c r="A3" s="498" t="s">
        <v>121</v>
      </c>
      <c r="B3" s="500" t="s">
        <v>122</v>
      </c>
      <c r="C3" s="500" t="s">
        <v>29</v>
      </c>
      <c r="D3" s="500" t="s">
        <v>4</v>
      </c>
      <c r="E3" s="438" t="s">
        <v>123</v>
      </c>
      <c r="F3" s="494" t="s">
        <v>124</v>
      </c>
      <c r="G3" s="495"/>
      <c r="H3" s="494" t="s">
        <v>125</v>
      </c>
      <c r="I3" s="495"/>
      <c r="J3" s="494" t="s">
        <v>7</v>
      </c>
      <c r="K3" s="495"/>
      <c r="L3" s="496" t="s">
        <v>126</v>
      </c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39"/>
      <c r="AJ3" s="439"/>
      <c r="AK3" s="439"/>
      <c r="AL3" s="439"/>
      <c r="AM3" s="439"/>
      <c r="AN3" s="439"/>
      <c r="AO3" s="439"/>
      <c r="AP3" s="439"/>
      <c r="AQ3" s="439"/>
      <c r="AR3" s="439"/>
      <c r="AS3" s="439"/>
      <c r="AT3" s="439"/>
      <c r="AU3" s="439"/>
      <c r="AV3" s="439"/>
      <c r="AW3" s="439"/>
      <c r="AX3" s="439"/>
      <c r="AY3" s="439"/>
      <c r="AZ3" s="439"/>
      <c r="BA3" s="439"/>
      <c r="BB3" s="439"/>
      <c r="BC3" s="439"/>
      <c r="BD3" s="439"/>
      <c r="BE3" s="439"/>
      <c r="BF3" s="439"/>
      <c r="BG3" s="439"/>
      <c r="BH3" s="439"/>
      <c r="BI3" s="439"/>
      <c r="BJ3" s="439"/>
      <c r="BK3" s="439"/>
      <c r="BL3" s="439"/>
      <c r="BM3" s="439"/>
      <c r="BN3" s="439"/>
      <c r="BO3" s="439"/>
      <c r="BP3" s="439"/>
      <c r="BQ3" s="439"/>
      <c r="BR3" s="439"/>
      <c r="BS3" s="439"/>
      <c r="BT3" s="439"/>
      <c r="BU3" s="439"/>
      <c r="BV3" s="439"/>
      <c r="BW3" s="439"/>
      <c r="BX3" s="439"/>
      <c r="BY3" s="439"/>
      <c r="BZ3" s="439"/>
      <c r="CA3" s="439"/>
      <c r="CB3" s="439"/>
      <c r="CC3" s="439"/>
      <c r="CD3" s="439"/>
      <c r="CE3" s="439"/>
      <c r="CF3" s="439"/>
      <c r="CG3" s="439"/>
      <c r="CH3" s="439"/>
      <c r="CI3" s="439"/>
      <c r="CJ3" s="439"/>
      <c r="CK3" s="439"/>
      <c r="CL3" s="439"/>
      <c r="CM3" s="439"/>
      <c r="CN3" s="439"/>
      <c r="CO3" s="439"/>
      <c r="CP3" s="439"/>
      <c r="CQ3" s="439"/>
      <c r="CR3" s="439"/>
      <c r="CS3" s="439"/>
      <c r="CT3" s="439"/>
      <c r="CU3" s="439"/>
      <c r="CV3" s="439"/>
      <c r="CW3" s="439"/>
      <c r="CX3" s="439"/>
      <c r="CY3" s="439"/>
      <c r="CZ3" s="439"/>
      <c r="DA3" s="439"/>
      <c r="DB3" s="439"/>
      <c r="DC3" s="439"/>
      <c r="DD3" s="439"/>
      <c r="DE3" s="439"/>
      <c r="DF3" s="439"/>
      <c r="DG3" s="439"/>
      <c r="DH3" s="439"/>
      <c r="DI3" s="439"/>
      <c r="DJ3" s="439"/>
      <c r="DK3" s="439"/>
      <c r="DL3" s="439"/>
      <c r="DM3" s="439"/>
      <c r="DN3" s="439"/>
      <c r="DO3" s="439"/>
      <c r="DP3" s="439"/>
      <c r="DQ3" s="439"/>
      <c r="DR3" s="439"/>
      <c r="DS3" s="439"/>
      <c r="DT3" s="439"/>
      <c r="DU3" s="439"/>
      <c r="DV3" s="439"/>
      <c r="DW3" s="439"/>
      <c r="DX3" s="439"/>
      <c r="DY3" s="439"/>
      <c r="DZ3" s="439"/>
      <c r="EA3" s="439"/>
      <c r="EB3" s="439"/>
      <c r="EC3" s="439"/>
      <c r="ED3" s="439"/>
      <c r="EE3" s="439"/>
      <c r="EF3" s="439"/>
      <c r="EG3" s="439"/>
      <c r="EH3" s="439"/>
      <c r="EI3" s="439"/>
      <c r="EJ3" s="439"/>
      <c r="EK3" s="439"/>
      <c r="EL3" s="439"/>
      <c r="EM3" s="439"/>
      <c r="EN3" s="439"/>
      <c r="EO3" s="439"/>
      <c r="EP3" s="439"/>
      <c r="EQ3" s="439"/>
      <c r="ER3" s="439"/>
      <c r="ES3" s="439"/>
      <c r="ET3" s="439"/>
      <c r="EU3" s="439"/>
      <c r="EV3" s="439"/>
      <c r="EW3" s="439"/>
      <c r="EX3" s="439"/>
      <c r="EY3" s="439"/>
      <c r="EZ3" s="439"/>
      <c r="FA3" s="439"/>
      <c r="FB3" s="439"/>
      <c r="FC3" s="439"/>
      <c r="FD3" s="439"/>
      <c r="FE3" s="439"/>
      <c r="FF3" s="439"/>
      <c r="FG3" s="439"/>
      <c r="FH3" s="439"/>
      <c r="FI3" s="439"/>
      <c r="FJ3" s="439"/>
      <c r="FK3" s="439"/>
      <c r="FL3" s="439"/>
      <c r="FM3" s="439"/>
      <c r="FN3" s="439"/>
      <c r="FO3" s="439"/>
      <c r="FP3" s="439"/>
      <c r="FQ3" s="439"/>
      <c r="FR3" s="439"/>
      <c r="FS3" s="439"/>
      <c r="FT3" s="439"/>
      <c r="FU3" s="439"/>
      <c r="FV3" s="439"/>
      <c r="FW3" s="439"/>
      <c r="FX3" s="439"/>
      <c r="FY3" s="439"/>
      <c r="FZ3" s="439"/>
      <c r="GA3" s="439"/>
      <c r="GB3" s="439"/>
      <c r="GC3" s="439"/>
      <c r="GD3" s="439"/>
      <c r="GE3" s="439"/>
      <c r="GF3" s="439"/>
      <c r="GG3" s="439"/>
      <c r="GH3" s="439"/>
      <c r="GI3" s="439"/>
      <c r="GJ3" s="439"/>
      <c r="GK3" s="439"/>
      <c r="GL3" s="439"/>
      <c r="GM3" s="439"/>
      <c r="GN3" s="439"/>
      <c r="GO3" s="439"/>
      <c r="GP3" s="439"/>
      <c r="GQ3" s="439"/>
      <c r="GR3" s="439"/>
      <c r="GS3" s="439"/>
      <c r="GT3" s="439"/>
      <c r="GU3" s="439"/>
      <c r="GV3" s="439"/>
      <c r="GW3" s="439"/>
      <c r="GX3" s="439"/>
      <c r="GY3" s="439"/>
      <c r="GZ3" s="439"/>
      <c r="HA3" s="439"/>
      <c r="HB3" s="439"/>
      <c r="HC3" s="439"/>
      <c r="HD3" s="439"/>
      <c r="HE3" s="439"/>
      <c r="HF3" s="439"/>
      <c r="HG3" s="439"/>
      <c r="HH3" s="439"/>
      <c r="HI3" s="439"/>
      <c r="HJ3" s="439"/>
      <c r="HK3" s="439"/>
      <c r="HL3" s="439"/>
      <c r="HM3" s="439"/>
      <c r="HN3" s="439"/>
      <c r="HO3" s="439"/>
      <c r="HP3" s="439"/>
      <c r="HQ3" s="439"/>
      <c r="HR3" s="439"/>
      <c r="HS3" s="439"/>
      <c r="HT3" s="439"/>
      <c r="HU3" s="439"/>
      <c r="HV3" s="439"/>
      <c r="HW3" s="439"/>
      <c r="HX3" s="439"/>
      <c r="HY3" s="439"/>
      <c r="HZ3" s="439"/>
      <c r="IA3" s="439"/>
      <c r="IB3" s="439"/>
      <c r="IC3" s="439"/>
      <c r="ID3" s="439"/>
      <c r="IE3" s="439"/>
      <c r="IF3" s="439"/>
      <c r="IG3" s="439"/>
      <c r="IH3" s="439"/>
      <c r="II3" s="439"/>
      <c r="IJ3" s="439"/>
      <c r="IK3" s="439"/>
      <c r="IL3" s="439"/>
      <c r="IM3" s="439"/>
      <c r="IN3" s="439"/>
      <c r="IO3" s="439"/>
      <c r="IP3" s="439"/>
      <c r="IQ3" s="439"/>
      <c r="IR3" s="439"/>
      <c r="IS3" s="439"/>
      <c r="IT3" s="439"/>
      <c r="IU3" s="439"/>
      <c r="IV3" s="439"/>
    </row>
    <row r="4" spans="1:256" ht="20.100000000000001" customHeight="1">
      <c r="A4" s="499"/>
      <c r="B4" s="501"/>
      <c r="C4" s="501"/>
      <c r="D4" s="501"/>
      <c r="E4" s="440" t="s">
        <v>127</v>
      </c>
      <c r="F4" s="440" t="s">
        <v>0</v>
      </c>
      <c r="G4" s="440" t="s">
        <v>127</v>
      </c>
      <c r="H4" s="440" t="s">
        <v>0</v>
      </c>
      <c r="I4" s="440" t="s">
        <v>127</v>
      </c>
      <c r="J4" s="440" t="s">
        <v>0</v>
      </c>
      <c r="K4" s="440" t="s">
        <v>127</v>
      </c>
      <c r="L4" s="497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  <c r="AK4" s="439"/>
      <c r="AL4" s="439"/>
      <c r="AM4" s="439"/>
      <c r="AN4" s="439"/>
      <c r="AO4" s="439"/>
      <c r="AP4" s="439"/>
      <c r="AQ4" s="439"/>
      <c r="AR4" s="439"/>
      <c r="AS4" s="439"/>
      <c r="AT4" s="439"/>
      <c r="AU4" s="439"/>
      <c r="AV4" s="439"/>
      <c r="AW4" s="439"/>
      <c r="AX4" s="439"/>
      <c r="AY4" s="439"/>
      <c r="AZ4" s="439"/>
      <c r="BA4" s="439"/>
      <c r="BB4" s="439"/>
      <c r="BC4" s="439"/>
      <c r="BD4" s="439"/>
      <c r="BE4" s="439"/>
      <c r="BF4" s="439"/>
      <c r="BG4" s="439"/>
      <c r="BH4" s="439"/>
      <c r="BI4" s="439"/>
      <c r="BJ4" s="439"/>
      <c r="BK4" s="439"/>
      <c r="BL4" s="439"/>
      <c r="BM4" s="439"/>
      <c r="BN4" s="439"/>
      <c r="BO4" s="439"/>
      <c r="BP4" s="439"/>
      <c r="BQ4" s="439"/>
      <c r="BR4" s="439"/>
      <c r="BS4" s="439"/>
      <c r="BT4" s="439"/>
      <c r="BU4" s="439"/>
      <c r="BV4" s="439"/>
      <c r="BW4" s="439"/>
      <c r="BX4" s="439"/>
      <c r="BY4" s="439"/>
      <c r="BZ4" s="439"/>
      <c r="CA4" s="439"/>
      <c r="CB4" s="439"/>
      <c r="CC4" s="439"/>
      <c r="CD4" s="439"/>
      <c r="CE4" s="439"/>
      <c r="CF4" s="439"/>
      <c r="CG4" s="439"/>
      <c r="CH4" s="439"/>
      <c r="CI4" s="439"/>
      <c r="CJ4" s="439"/>
      <c r="CK4" s="439"/>
      <c r="CL4" s="439"/>
      <c r="CM4" s="439"/>
      <c r="CN4" s="439"/>
      <c r="CO4" s="439"/>
      <c r="CP4" s="439"/>
      <c r="CQ4" s="439"/>
      <c r="CR4" s="439"/>
      <c r="CS4" s="439"/>
      <c r="CT4" s="439"/>
      <c r="CU4" s="439"/>
      <c r="CV4" s="439"/>
      <c r="CW4" s="439"/>
      <c r="CX4" s="439"/>
      <c r="CY4" s="439"/>
      <c r="CZ4" s="439"/>
      <c r="DA4" s="439"/>
      <c r="DB4" s="439"/>
      <c r="DC4" s="439"/>
      <c r="DD4" s="439"/>
      <c r="DE4" s="439"/>
      <c r="DF4" s="439"/>
      <c r="DG4" s="439"/>
      <c r="DH4" s="439"/>
      <c r="DI4" s="439"/>
      <c r="DJ4" s="439"/>
      <c r="DK4" s="439"/>
      <c r="DL4" s="439"/>
      <c r="DM4" s="439"/>
      <c r="DN4" s="439"/>
      <c r="DO4" s="439"/>
      <c r="DP4" s="439"/>
      <c r="DQ4" s="439"/>
      <c r="DR4" s="439"/>
      <c r="DS4" s="439"/>
      <c r="DT4" s="439"/>
      <c r="DU4" s="439"/>
      <c r="DV4" s="439"/>
      <c r="DW4" s="439"/>
      <c r="DX4" s="439"/>
      <c r="DY4" s="439"/>
      <c r="DZ4" s="439"/>
      <c r="EA4" s="439"/>
      <c r="EB4" s="439"/>
      <c r="EC4" s="439"/>
      <c r="ED4" s="439"/>
      <c r="EE4" s="439"/>
      <c r="EF4" s="439"/>
      <c r="EG4" s="439"/>
      <c r="EH4" s="439"/>
      <c r="EI4" s="439"/>
      <c r="EJ4" s="439"/>
      <c r="EK4" s="439"/>
      <c r="EL4" s="439"/>
      <c r="EM4" s="439"/>
      <c r="EN4" s="439"/>
      <c r="EO4" s="439"/>
      <c r="EP4" s="439"/>
      <c r="EQ4" s="439"/>
      <c r="ER4" s="439"/>
      <c r="ES4" s="439"/>
      <c r="ET4" s="439"/>
      <c r="EU4" s="439"/>
      <c r="EV4" s="439"/>
      <c r="EW4" s="439"/>
      <c r="EX4" s="439"/>
      <c r="EY4" s="439"/>
      <c r="EZ4" s="439"/>
      <c r="FA4" s="439"/>
      <c r="FB4" s="439"/>
      <c r="FC4" s="439"/>
      <c r="FD4" s="439"/>
      <c r="FE4" s="439"/>
      <c r="FF4" s="439"/>
      <c r="FG4" s="439"/>
      <c r="FH4" s="439"/>
      <c r="FI4" s="439"/>
      <c r="FJ4" s="439"/>
      <c r="FK4" s="439"/>
      <c r="FL4" s="439"/>
      <c r="FM4" s="439"/>
      <c r="FN4" s="439"/>
      <c r="FO4" s="439"/>
      <c r="FP4" s="439"/>
      <c r="FQ4" s="439"/>
      <c r="FR4" s="439"/>
      <c r="FS4" s="439"/>
      <c r="FT4" s="439"/>
      <c r="FU4" s="439"/>
      <c r="FV4" s="439"/>
      <c r="FW4" s="439"/>
      <c r="FX4" s="439"/>
      <c r="FY4" s="439"/>
      <c r="FZ4" s="439"/>
      <c r="GA4" s="439"/>
      <c r="GB4" s="439"/>
      <c r="GC4" s="439"/>
      <c r="GD4" s="439"/>
      <c r="GE4" s="439"/>
      <c r="GF4" s="439"/>
      <c r="GG4" s="439"/>
      <c r="GH4" s="439"/>
      <c r="GI4" s="439"/>
      <c r="GJ4" s="439"/>
      <c r="GK4" s="439"/>
      <c r="GL4" s="439"/>
      <c r="GM4" s="439"/>
      <c r="GN4" s="439"/>
      <c r="GO4" s="439"/>
      <c r="GP4" s="439"/>
      <c r="GQ4" s="439"/>
      <c r="GR4" s="439"/>
      <c r="GS4" s="439"/>
      <c r="GT4" s="439"/>
      <c r="GU4" s="439"/>
      <c r="GV4" s="439"/>
      <c r="GW4" s="439"/>
      <c r="GX4" s="439"/>
      <c r="GY4" s="439"/>
      <c r="GZ4" s="439"/>
      <c r="HA4" s="439"/>
      <c r="HB4" s="439"/>
      <c r="HC4" s="439"/>
      <c r="HD4" s="439"/>
      <c r="HE4" s="439"/>
      <c r="HF4" s="439"/>
      <c r="HG4" s="439"/>
      <c r="HH4" s="439"/>
      <c r="HI4" s="439"/>
      <c r="HJ4" s="439"/>
      <c r="HK4" s="439"/>
      <c r="HL4" s="439"/>
      <c r="HM4" s="439"/>
      <c r="HN4" s="439"/>
      <c r="HO4" s="439"/>
      <c r="HP4" s="439"/>
      <c r="HQ4" s="439"/>
      <c r="HR4" s="439"/>
      <c r="HS4" s="439"/>
      <c r="HT4" s="439"/>
      <c r="HU4" s="439"/>
      <c r="HV4" s="439"/>
      <c r="HW4" s="439"/>
      <c r="HX4" s="439"/>
      <c r="HY4" s="439"/>
      <c r="HZ4" s="439"/>
      <c r="IA4" s="439"/>
      <c r="IB4" s="439"/>
      <c r="IC4" s="439"/>
      <c r="ID4" s="439"/>
      <c r="IE4" s="439"/>
      <c r="IF4" s="439"/>
      <c r="IG4" s="439"/>
      <c r="IH4" s="439"/>
      <c r="II4" s="439"/>
      <c r="IJ4" s="439"/>
      <c r="IK4" s="439"/>
      <c r="IL4" s="439"/>
      <c r="IM4" s="439"/>
      <c r="IN4" s="439"/>
      <c r="IO4" s="439"/>
      <c r="IP4" s="439"/>
      <c r="IQ4" s="439"/>
      <c r="IR4" s="439"/>
      <c r="IS4" s="439"/>
      <c r="IT4" s="439"/>
      <c r="IU4" s="439"/>
      <c r="IV4" s="439"/>
    </row>
    <row r="5" spans="1:256" ht="20.100000000000001" customHeight="1">
      <c r="A5" s="441" t="s">
        <v>128</v>
      </c>
      <c r="B5" s="442" t="s">
        <v>203</v>
      </c>
      <c r="C5" s="442" t="s">
        <v>129</v>
      </c>
      <c r="D5" s="442">
        <v>1</v>
      </c>
      <c r="E5" s="446">
        <f>G5+I5+K5</f>
        <v>17324072</v>
      </c>
      <c r="F5" s="448"/>
      <c r="G5" s="448">
        <f>내역서!L24</f>
        <v>370226</v>
      </c>
      <c r="H5" s="448"/>
      <c r="I5" s="448">
        <f>내역서!J24</f>
        <v>16834373</v>
      </c>
      <c r="J5" s="448"/>
      <c r="K5" s="448">
        <f>내역서!N24</f>
        <v>119473</v>
      </c>
      <c r="L5" s="443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  <c r="AK5" s="439"/>
      <c r="AL5" s="439"/>
      <c r="AM5" s="439"/>
      <c r="AN5" s="439"/>
      <c r="AO5" s="439"/>
      <c r="AP5" s="439"/>
      <c r="AQ5" s="439"/>
      <c r="AR5" s="439"/>
      <c r="AS5" s="439"/>
      <c r="AT5" s="439"/>
      <c r="AU5" s="439"/>
      <c r="AV5" s="439"/>
      <c r="AW5" s="439"/>
      <c r="AX5" s="439"/>
      <c r="AY5" s="439"/>
      <c r="AZ5" s="439"/>
      <c r="BA5" s="439"/>
      <c r="BB5" s="439"/>
      <c r="BC5" s="439"/>
      <c r="BD5" s="439"/>
      <c r="BE5" s="439"/>
      <c r="BF5" s="439"/>
      <c r="BG5" s="439"/>
      <c r="BH5" s="439"/>
      <c r="BI5" s="439"/>
      <c r="BJ5" s="439"/>
      <c r="BK5" s="439"/>
      <c r="BL5" s="439"/>
      <c r="BM5" s="439"/>
      <c r="BN5" s="439"/>
      <c r="BO5" s="439"/>
      <c r="BP5" s="439"/>
      <c r="BQ5" s="439"/>
      <c r="BR5" s="439"/>
      <c r="BS5" s="439"/>
      <c r="BT5" s="439"/>
      <c r="BU5" s="439"/>
      <c r="BV5" s="439"/>
      <c r="BW5" s="439"/>
      <c r="BX5" s="439"/>
      <c r="BY5" s="439"/>
      <c r="BZ5" s="439"/>
      <c r="CA5" s="439"/>
      <c r="CB5" s="439"/>
      <c r="CC5" s="439"/>
      <c r="CD5" s="439"/>
      <c r="CE5" s="439"/>
      <c r="CF5" s="439"/>
      <c r="CG5" s="439"/>
      <c r="CH5" s="439"/>
      <c r="CI5" s="439"/>
      <c r="CJ5" s="439"/>
      <c r="CK5" s="439"/>
      <c r="CL5" s="439"/>
      <c r="CM5" s="439"/>
      <c r="CN5" s="439"/>
      <c r="CO5" s="439"/>
      <c r="CP5" s="439"/>
      <c r="CQ5" s="439"/>
      <c r="CR5" s="439"/>
      <c r="CS5" s="439"/>
      <c r="CT5" s="439"/>
      <c r="CU5" s="439"/>
      <c r="CV5" s="439"/>
      <c r="CW5" s="439"/>
      <c r="CX5" s="439"/>
      <c r="CY5" s="439"/>
      <c r="CZ5" s="439"/>
      <c r="DA5" s="439"/>
      <c r="DB5" s="439"/>
      <c r="DC5" s="439"/>
      <c r="DD5" s="439"/>
      <c r="DE5" s="439"/>
      <c r="DF5" s="439"/>
      <c r="DG5" s="439"/>
      <c r="DH5" s="439"/>
      <c r="DI5" s="439"/>
      <c r="DJ5" s="439"/>
      <c r="DK5" s="439"/>
      <c r="DL5" s="439"/>
      <c r="DM5" s="439"/>
      <c r="DN5" s="439"/>
      <c r="DO5" s="439"/>
      <c r="DP5" s="439"/>
      <c r="DQ5" s="439"/>
      <c r="DR5" s="439"/>
      <c r="DS5" s="439"/>
      <c r="DT5" s="439"/>
      <c r="DU5" s="439"/>
      <c r="DV5" s="439"/>
      <c r="DW5" s="439"/>
      <c r="DX5" s="439"/>
      <c r="DY5" s="439"/>
      <c r="DZ5" s="439"/>
      <c r="EA5" s="439"/>
      <c r="EB5" s="439"/>
      <c r="EC5" s="439"/>
      <c r="ED5" s="439"/>
      <c r="EE5" s="439"/>
      <c r="EF5" s="439"/>
      <c r="EG5" s="439"/>
      <c r="EH5" s="439"/>
      <c r="EI5" s="439"/>
      <c r="EJ5" s="439"/>
      <c r="EK5" s="439"/>
      <c r="EL5" s="439"/>
      <c r="EM5" s="439"/>
      <c r="EN5" s="439"/>
      <c r="EO5" s="439"/>
      <c r="EP5" s="439"/>
      <c r="EQ5" s="439"/>
      <c r="ER5" s="439"/>
      <c r="ES5" s="439"/>
      <c r="ET5" s="439"/>
      <c r="EU5" s="439"/>
      <c r="EV5" s="439"/>
      <c r="EW5" s="439"/>
      <c r="EX5" s="439"/>
      <c r="EY5" s="439"/>
      <c r="EZ5" s="439"/>
      <c r="FA5" s="439"/>
      <c r="FB5" s="439"/>
      <c r="FC5" s="439"/>
      <c r="FD5" s="439"/>
      <c r="FE5" s="439"/>
      <c r="FF5" s="439"/>
      <c r="FG5" s="439"/>
      <c r="FH5" s="439"/>
      <c r="FI5" s="439"/>
      <c r="FJ5" s="439"/>
      <c r="FK5" s="439"/>
      <c r="FL5" s="439"/>
      <c r="FM5" s="439"/>
      <c r="FN5" s="439"/>
      <c r="FO5" s="439"/>
      <c r="FP5" s="439"/>
      <c r="FQ5" s="439"/>
      <c r="FR5" s="439"/>
      <c r="FS5" s="439"/>
      <c r="FT5" s="439"/>
      <c r="FU5" s="439"/>
      <c r="FV5" s="439"/>
      <c r="FW5" s="439"/>
      <c r="FX5" s="439"/>
      <c r="FY5" s="439"/>
      <c r="FZ5" s="439"/>
      <c r="GA5" s="439"/>
      <c r="GB5" s="439"/>
      <c r="GC5" s="439"/>
      <c r="GD5" s="439"/>
      <c r="GE5" s="439"/>
      <c r="GF5" s="439"/>
      <c r="GG5" s="439"/>
      <c r="GH5" s="439"/>
      <c r="GI5" s="439"/>
      <c r="GJ5" s="439"/>
      <c r="GK5" s="439"/>
      <c r="GL5" s="439"/>
      <c r="GM5" s="439"/>
      <c r="GN5" s="439"/>
      <c r="GO5" s="439"/>
      <c r="GP5" s="439"/>
      <c r="GQ5" s="439"/>
      <c r="GR5" s="439"/>
      <c r="GS5" s="439"/>
      <c r="GT5" s="439"/>
      <c r="GU5" s="439"/>
      <c r="GV5" s="439"/>
      <c r="GW5" s="439"/>
      <c r="GX5" s="439"/>
      <c r="GY5" s="439"/>
      <c r="GZ5" s="439"/>
      <c r="HA5" s="439"/>
      <c r="HB5" s="439"/>
      <c r="HC5" s="439"/>
      <c r="HD5" s="439"/>
      <c r="HE5" s="439"/>
      <c r="HF5" s="439"/>
      <c r="HG5" s="439"/>
      <c r="HH5" s="439"/>
      <c r="HI5" s="439"/>
      <c r="HJ5" s="439"/>
      <c r="HK5" s="439"/>
      <c r="HL5" s="439"/>
      <c r="HM5" s="439"/>
      <c r="HN5" s="439"/>
      <c r="HO5" s="439"/>
      <c r="HP5" s="439"/>
      <c r="HQ5" s="439"/>
      <c r="HR5" s="439"/>
      <c r="HS5" s="439"/>
      <c r="HT5" s="439"/>
      <c r="HU5" s="439"/>
      <c r="HV5" s="439"/>
      <c r="HW5" s="439"/>
      <c r="HX5" s="439"/>
      <c r="HY5" s="439"/>
      <c r="HZ5" s="439"/>
      <c r="IA5" s="439"/>
      <c r="IB5" s="439"/>
      <c r="IC5" s="439"/>
      <c r="ID5" s="439"/>
      <c r="IE5" s="439"/>
      <c r="IF5" s="439"/>
      <c r="IG5" s="439"/>
      <c r="IH5" s="439"/>
      <c r="II5" s="439"/>
      <c r="IJ5" s="439"/>
      <c r="IK5" s="439"/>
      <c r="IL5" s="439"/>
      <c r="IM5" s="439"/>
      <c r="IN5" s="439"/>
      <c r="IO5" s="439"/>
      <c r="IP5" s="439"/>
      <c r="IQ5" s="439"/>
      <c r="IR5" s="439"/>
      <c r="IS5" s="439"/>
      <c r="IT5" s="439"/>
      <c r="IU5" s="439"/>
      <c r="IV5" s="439"/>
    </row>
    <row r="6" spans="1:256" ht="20.100000000000001" customHeight="1">
      <c r="A6" s="444" t="s">
        <v>130</v>
      </c>
      <c r="B6" s="445"/>
      <c r="C6" s="445"/>
      <c r="D6" s="445"/>
      <c r="E6" s="477">
        <f>G6+I6+K6</f>
        <v>17324072</v>
      </c>
      <c r="F6" s="447"/>
      <c r="G6" s="447">
        <f>G5</f>
        <v>370226</v>
      </c>
      <c r="H6" s="447"/>
      <c r="I6" s="447">
        <f>내역서!J24</f>
        <v>16834373</v>
      </c>
      <c r="J6" s="447"/>
      <c r="K6" s="447">
        <f>K5</f>
        <v>119473</v>
      </c>
      <c r="L6" s="443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  <c r="AA6" s="439"/>
      <c r="AB6" s="439"/>
      <c r="AC6" s="439"/>
      <c r="AD6" s="439"/>
      <c r="AE6" s="439"/>
      <c r="AF6" s="439"/>
      <c r="AG6" s="439"/>
      <c r="AH6" s="439"/>
      <c r="AI6" s="439"/>
      <c r="AJ6" s="439"/>
      <c r="AK6" s="439"/>
      <c r="AL6" s="439"/>
      <c r="AM6" s="439"/>
      <c r="AN6" s="439"/>
      <c r="AO6" s="439"/>
      <c r="AP6" s="439"/>
      <c r="AQ6" s="439"/>
      <c r="AR6" s="439"/>
      <c r="AS6" s="439"/>
      <c r="AT6" s="439"/>
      <c r="AU6" s="439"/>
      <c r="AV6" s="439"/>
      <c r="AW6" s="439"/>
      <c r="AX6" s="439"/>
      <c r="AY6" s="439"/>
      <c r="AZ6" s="439"/>
      <c r="BA6" s="439"/>
      <c r="BB6" s="439"/>
      <c r="BC6" s="439"/>
      <c r="BD6" s="439"/>
      <c r="BE6" s="439"/>
      <c r="BF6" s="439"/>
      <c r="BG6" s="439"/>
      <c r="BH6" s="439"/>
      <c r="BI6" s="439"/>
      <c r="BJ6" s="439"/>
      <c r="BK6" s="439"/>
      <c r="BL6" s="439"/>
      <c r="BM6" s="439"/>
      <c r="BN6" s="439"/>
      <c r="BO6" s="439"/>
      <c r="BP6" s="439"/>
      <c r="BQ6" s="439"/>
      <c r="BR6" s="439"/>
      <c r="BS6" s="439"/>
      <c r="BT6" s="439"/>
      <c r="BU6" s="439"/>
      <c r="BV6" s="439"/>
      <c r="BW6" s="439"/>
      <c r="BX6" s="439"/>
      <c r="BY6" s="439"/>
      <c r="BZ6" s="439"/>
      <c r="CA6" s="439"/>
      <c r="CB6" s="439"/>
      <c r="CC6" s="439"/>
      <c r="CD6" s="439"/>
      <c r="CE6" s="439"/>
      <c r="CF6" s="439"/>
      <c r="CG6" s="439"/>
      <c r="CH6" s="439"/>
      <c r="CI6" s="439"/>
      <c r="CJ6" s="439"/>
      <c r="CK6" s="439"/>
      <c r="CL6" s="439"/>
      <c r="CM6" s="439"/>
      <c r="CN6" s="439"/>
      <c r="CO6" s="439"/>
      <c r="CP6" s="439"/>
      <c r="CQ6" s="439"/>
      <c r="CR6" s="439"/>
      <c r="CS6" s="439"/>
      <c r="CT6" s="439"/>
      <c r="CU6" s="439"/>
      <c r="CV6" s="439"/>
      <c r="CW6" s="439"/>
      <c r="CX6" s="439"/>
      <c r="CY6" s="439"/>
      <c r="CZ6" s="439"/>
      <c r="DA6" s="439"/>
      <c r="DB6" s="439"/>
      <c r="DC6" s="439"/>
      <c r="DD6" s="439"/>
      <c r="DE6" s="439"/>
      <c r="DF6" s="439"/>
      <c r="DG6" s="439"/>
      <c r="DH6" s="439"/>
      <c r="DI6" s="439"/>
      <c r="DJ6" s="439"/>
      <c r="DK6" s="439"/>
      <c r="DL6" s="439"/>
      <c r="DM6" s="439"/>
      <c r="DN6" s="439"/>
      <c r="DO6" s="439"/>
      <c r="DP6" s="439"/>
      <c r="DQ6" s="439"/>
      <c r="DR6" s="439"/>
      <c r="DS6" s="439"/>
      <c r="DT6" s="439"/>
      <c r="DU6" s="439"/>
      <c r="DV6" s="439"/>
      <c r="DW6" s="439"/>
      <c r="DX6" s="439"/>
      <c r="DY6" s="439"/>
      <c r="DZ6" s="439"/>
      <c r="EA6" s="439"/>
      <c r="EB6" s="439"/>
      <c r="EC6" s="439"/>
      <c r="ED6" s="439"/>
      <c r="EE6" s="439"/>
      <c r="EF6" s="439"/>
      <c r="EG6" s="439"/>
      <c r="EH6" s="439"/>
      <c r="EI6" s="439"/>
      <c r="EJ6" s="439"/>
      <c r="EK6" s="439"/>
      <c r="EL6" s="439"/>
      <c r="EM6" s="439"/>
      <c r="EN6" s="439"/>
      <c r="EO6" s="439"/>
      <c r="EP6" s="439"/>
      <c r="EQ6" s="439"/>
      <c r="ER6" s="439"/>
      <c r="ES6" s="439"/>
      <c r="ET6" s="439"/>
      <c r="EU6" s="439"/>
      <c r="EV6" s="439"/>
      <c r="EW6" s="439"/>
      <c r="EX6" s="439"/>
      <c r="EY6" s="439"/>
      <c r="EZ6" s="439"/>
      <c r="FA6" s="439"/>
      <c r="FB6" s="439"/>
      <c r="FC6" s="439"/>
      <c r="FD6" s="439"/>
      <c r="FE6" s="439"/>
      <c r="FF6" s="439"/>
      <c r="FG6" s="439"/>
      <c r="FH6" s="439"/>
      <c r="FI6" s="439"/>
      <c r="FJ6" s="439"/>
      <c r="FK6" s="439"/>
      <c r="FL6" s="439"/>
      <c r="FM6" s="439"/>
      <c r="FN6" s="439"/>
      <c r="FO6" s="439"/>
      <c r="FP6" s="439"/>
      <c r="FQ6" s="439"/>
      <c r="FR6" s="439"/>
      <c r="FS6" s="439"/>
      <c r="FT6" s="439"/>
      <c r="FU6" s="439"/>
      <c r="FV6" s="439"/>
      <c r="FW6" s="439"/>
      <c r="FX6" s="439"/>
      <c r="FY6" s="439"/>
      <c r="FZ6" s="439"/>
      <c r="GA6" s="439"/>
      <c r="GB6" s="439"/>
      <c r="GC6" s="439"/>
      <c r="GD6" s="439"/>
      <c r="GE6" s="439"/>
      <c r="GF6" s="439"/>
      <c r="GG6" s="439"/>
      <c r="GH6" s="439"/>
      <c r="GI6" s="439"/>
      <c r="GJ6" s="439"/>
      <c r="GK6" s="439"/>
      <c r="GL6" s="439"/>
      <c r="GM6" s="439"/>
      <c r="GN6" s="439"/>
      <c r="GO6" s="439"/>
      <c r="GP6" s="439"/>
      <c r="GQ6" s="439"/>
      <c r="GR6" s="439"/>
      <c r="GS6" s="439"/>
      <c r="GT6" s="439"/>
      <c r="GU6" s="439"/>
      <c r="GV6" s="439"/>
      <c r="GW6" s="439"/>
      <c r="GX6" s="439"/>
      <c r="GY6" s="439"/>
      <c r="GZ6" s="439"/>
      <c r="HA6" s="439"/>
      <c r="HB6" s="439"/>
      <c r="HC6" s="439"/>
      <c r="HD6" s="439"/>
      <c r="HE6" s="439"/>
      <c r="HF6" s="439"/>
      <c r="HG6" s="439"/>
      <c r="HH6" s="439"/>
      <c r="HI6" s="439"/>
      <c r="HJ6" s="439"/>
      <c r="HK6" s="439"/>
      <c r="HL6" s="439"/>
      <c r="HM6" s="439"/>
      <c r="HN6" s="439"/>
      <c r="HO6" s="439"/>
      <c r="HP6" s="439"/>
      <c r="HQ6" s="439"/>
      <c r="HR6" s="439"/>
      <c r="HS6" s="439"/>
      <c r="HT6" s="439"/>
      <c r="HU6" s="439"/>
      <c r="HV6" s="439"/>
      <c r="HW6" s="439"/>
      <c r="HX6" s="439"/>
      <c r="HY6" s="439"/>
      <c r="HZ6" s="439"/>
      <c r="IA6" s="439"/>
      <c r="IB6" s="439"/>
      <c r="IC6" s="439"/>
      <c r="ID6" s="439"/>
      <c r="IE6" s="439"/>
      <c r="IF6" s="439"/>
      <c r="IG6" s="439"/>
      <c r="IH6" s="439"/>
      <c r="II6" s="439"/>
      <c r="IJ6" s="439"/>
      <c r="IK6" s="439"/>
      <c r="IL6" s="439"/>
      <c r="IM6" s="439"/>
      <c r="IN6" s="439"/>
      <c r="IO6" s="439"/>
      <c r="IP6" s="439"/>
      <c r="IQ6" s="439"/>
      <c r="IR6" s="439"/>
      <c r="IS6" s="439"/>
      <c r="IT6" s="439"/>
      <c r="IU6" s="439"/>
      <c r="IV6" s="439"/>
    </row>
    <row r="7" spans="1:256" ht="20.100000000000001" customHeight="1">
      <c r="A7" s="451" t="s">
        <v>428</v>
      </c>
      <c r="B7" s="452" t="s">
        <v>429</v>
      </c>
      <c r="C7" s="453" t="s">
        <v>459</v>
      </c>
      <c r="D7" s="453">
        <v>13.8</v>
      </c>
      <c r="E7" s="454">
        <f>TRUNC(I6*D7%)</f>
        <v>2323143</v>
      </c>
      <c r="F7" s="455"/>
      <c r="G7" s="455"/>
      <c r="H7" s="455"/>
      <c r="I7" s="456">
        <f>E7</f>
        <v>2323143</v>
      </c>
      <c r="J7" s="455"/>
      <c r="K7" s="455"/>
      <c r="L7" s="457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39"/>
      <c r="AL7" s="439"/>
      <c r="AM7" s="439"/>
      <c r="AN7" s="439"/>
      <c r="AO7" s="439"/>
      <c r="AP7" s="439"/>
      <c r="AQ7" s="439"/>
      <c r="AR7" s="439"/>
      <c r="AS7" s="439"/>
      <c r="AT7" s="439"/>
      <c r="AU7" s="439"/>
      <c r="AV7" s="439"/>
      <c r="AW7" s="439"/>
      <c r="AX7" s="439"/>
      <c r="AY7" s="439"/>
      <c r="AZ7" s="439"/>
      <c r="BA7" s="439"/>
      <c r="BB7" s="439"/>
      <c r="BC7" s="439"/>
      <c r="BD7" s="439"/>
      <c r="BE7" s="439"/>
      <c r="BF7" s="439"/>
      <c r="BG7" s="439"/>
      <c r="BH7" s="439"/>
      <c r="BI7" s="439"/>
      <c r="BJ7" s="439"/>
      <c r="BK7" s="439"/>
      <c r="BL7" s="439"/>
      <c r="BM7" s="439"/>
      <c r="BN7" s="439"/>
      <c r="BO7" s="439"/>
      <c r="BP7" s="439"/>
      <c r="BQ7" s="439"/>
      <c r="BR7" s="439"/>
      <c r="BS7" s="439"/>
      <c r="BT7" s="439"/>
      <c r="BU7" s="439"/>
      <c r="BV7" s="439"/>
      <c r="BW7" s="439"/>
      <c r="BX7" s="439"/>
      <c r="BY7" s="439"/>
      <c r="BZ7" s="439"/>
      <c r="CA7" s="439"/>
      <c r="CB7" s="439"/>
      <c r="CC7" s="439"/>
      <c r="CD7" s="439"/>
      <c r="CE7" s="439"/>
      <c r="CF7" s="439"/>
      <c r="CG7" s="439"/>
      <c r="CH7" s="439"/>
      <c r="CI7" s="439"/>
      <c r="CJ7" s="439"/>
      <c r="CK7" s="439"/>
      <c r="CL7" s="439"/>
      <c r="CM7" s="439"/>
      <c r="CN7" s="439"/>
      <c r="CO7" s="439"/>
      <c r="CP7" s="439"/>
      <c r="CQ7" s="439"/>
      <c r="CR7" s="439"/>
      <c r="CS7" s="439"/>
      <c r="CT7" s="439"/>
      <c r="CU7" s="439"/>
      <c r="CV7" s="439"/>
      <c r="CW7" s="439"/>
      <c r="CX7" s="439"/>
      <c r="CY7" s="439"/>
      <c r="CZ7" s="439"/>
      <c r="DA7" s="439"/>
      <c r="DB7" s="439"/>
      <c r="DC7" s="439"/>
      <c r="DD7" s="439"/>
      <c r="DE7" s="439"/>
      <c r="DF7" s="439"/>
      <c r="DG7" s="439"/>
      <c r="DH7" s="439"/>
      <c r="DI7" s="439"/>
      <c r="DJ7" s="439"/>
      <c r="DK7" s="439"/>
      <c r="DL7" s="439"/>
      <c r="DM7" s="439"/>
      <c r="DN7" s="439"/>
      <c r="DO7" s="439"/>
      <c r="DP7" s="439"/>
      <c r="DQ7" s="439"/>
      <c r="DR7" s="439"/>
      <c r="DS7" s="439"/>
      <c r="DT7" s="439"/>
      <c r="DU7" s="439"/>
      <c r="DV7" s="439"/>
      <c r="DW7" s="439"/>
      <c r="DX7" s="439"/>
      <c r="DY7" s="439"/>
      <c r="DZ7" s="439"/>
      <c r="EA7" s="439"/>
      <c r="EB7" s="439"/>
      <c r="EC7" s="439"/>
      <c r="ED7" s="439"/>
      <c r="EE7" s="439"/>
      <c r="EF7" s="439"/>
      <c r="EG7" s="439"/>
      <c r="EH7" s="439"/>
      <c r="EI7" s="439"/>
      <c r="EJ7" s="439"/>
      <c r="EK7" s="439"/>
      <c r="EL7" s="439"/>
      <c r="EM7" s="439"/>
      <c r="EN7" s="439"/>
      <c r="EO7" s="439"/>
      <c r="EP7" s="439"/>
      <c r="EQ7" s="439"/>
      <c r="ER7" s="439"/>
      <c r="ES7" s="439"/>
      <c r="ET7" s="439"/>
      <c r="EU7" s="439"/>
      <c r="EV7" s="439"/>
      <c r="EW7" s="439"/>
      <c r="EX7" s="439"/>
      <c r="EY7" s="439"/>
      <c r="EZ7" s="439"/>
      <c r="FA7" s="439"/>
      <c r="FB7" s="439"/>
      <c r="FC7" s="439"/>
      <c r="FD7" s="439"/>
      <c r="FE7" s="439"/>
      <c r="FF7" s="439"/>
      <c r="FG7" s="439"/>
      <c r="FH7" s="439"/>
      <c r="FI7" s="439"/>
      <c r="FJ7" s="439"/>
      <c r="FK7" s="439"/>
      <c r="FL7" s="439"/>
      <c r="FM7" s="439"/>
      <c r="FN7" s="439"/>
      <c r="FO7" s="439"/>
      <c r="FP7" s="439"/>
      <c r="FQ7" s="439"/>
      <c r="FR7" s="439"/>
      <c r="FS7" s="439"/>
      <c r="FT7" s="439"/>
      <c r="FU7" s="439"/>
      <c r="FV7" s="439"/>
      <c r="FW7" s="439"/>
      <c r="FX7" s="439"/>
      <c r="FY7" s="439"/>
      <c r="FZ7" s="439"/>
      <c r="GA7" s="439"/>
      <c r="GB7" s="439"/>
      <c r="GC7" s="439"/>
      <c r="GD7" s="439"/>
      <c r="GE7" s="439"/>
      <c r="GF7" s="439"/>
      <c r="GG7" s="439"/>
      <c r="GH7" s="439"/>
      <c r="GI7" s="439"/>
      <c r="GJ7" s="439"/>
      <c r="GK7" s="439"/>
      <c r="GL7" s="439"/>
      <c r="GM7" s="439"/>
      <c r="GN7" s="439"/>
      <c r="GO7" s="439"/>
      <c r="GP7" s="439"/>
      <c r="GQ7" s="439"/>
      <c r="GR7" s="439"/>
      <c r="GS7" s="439"/>
      <c r="GT7" s="439"/>
      <c r="GU7" s="439"/>
      <c r="GV7" s="439"/>
      <c r="GW7" s="439"/>
      <c r="GX7" s="439"/>
      <c r="GY7" s="439"/>
      <c r="GZ7" s="439"/>
      <c r="HA7" s="439"/>
      <c r="HB7" s="439"/>
      <c r="HC7" s="439"/>
      <c r="HD7" s="439"/>
      <c r="HE7" s="439"/>
      <c r="HF7" s="439"/>
      <c r="HG7" s="439"/>
      <c r="HH7" s="439"/>
      <c r="HI7" s="439"/>
      <c r="HJ7" s="439"/>
      <c r="HK7" s="439"/>
      <c r="HL7" s="439"/>
      <c r="HM7" s="439"/>
      <c r="HN7" s="439"/>
      <c r="HO7" s="439"/>
      <c r="HP7" s="439"/>
      <c r="HQ7" s="439"/>
      <c r="HR7" s="439"/>
      <c r="HS7" s="439"/>
      <c r="HT7" s="439"/>
      <c r="HU7" s="439"/>
      <c r="HV7" s="439"/>
      <c r="HW7" s="439"/>
      <c r="HX7" s="439"/>
      <c r="HY7" s="439"/>
      <c r="HZ7" s="439"/>
      <c r="IA7" s="439"/>
      <c r="IB7" s="439"/>
      <c r="IC7" s="439"/>
      <c r="ID7" s="439"/>
      <c r="IE7" s="439"/>
      <c r="IF7" s="439"/>
      <c r="IG7" s="439"/>
      <c r="IH7" s="439"/>
      <c r="II7" s="439"/>
      <c r="IJ7" s="439"/>
      <c r="IK7" s="439"/>
      <c r="IL7" s="439"/>
      <c r="IM7" s="439"/>
      <c r="IN7" s="439"/>
      <c r="IO7" s="439"/>
      <c r="IP7" s="439"/>
      <c r="IQ7" s="439"/>
      <c r="IR7" s="439"/>
      <c r="IS7" s="439"/>
      <c r="IT7" s="439"/>
      <c r="IU7" s="439"/>
      <c r="IV7" s="439"/>
    </row>
    <row r="8" spans="1:256" ht="20.100000000000001" customHeight="1">
      <c r="A8" s="451" t="s">
        <v>430</v>
      </c>
      <c r="B8" s="452" t="s">
        <v>431</v>
      </c>
      <c r="C8" s="453" t="s">
        <v>459</v>
      </c>
      <c r="D8" s="453">
        <v>3.7</v>
      </c>
      <c r="E8" s="454">
        <f>TRUNC((I6+E7)*D8%)</f>
        <v>708828</v>
      </c>
      <c r="F8" s="455"/>
      <c r="G8" s="455"/>
      <c r="H8" s="455"/>
      <c r="I8" s="455"/>
      <c r="J8" s="455"/>
      <c r="K8" s="456">
        <f>E8</f>
        <v>708828</v>
      </c>
      <c r="L8" s="457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  <c r="AI8" s="439"/>
      <c r="AJ8" s="439"/>
      <c r="AK8" s="439"/>
      <c r="AL8" s="439"/>
      <c r="AM8" s="439"/>
      <c r="AN8" s="439"/>
      <c r="AO8" s="439"/>
      <c r="AP8" s="439"/>
      <c r="AQ8" s="439"/>
      <c r="AR8" s="439"/>
      <c r="AS8" s="439"/>
      <c r="AT8" s="439"/>
      <c r="AU8" s="439"/>
      <c r="AV8" s="439"/>
      <c r="AW8" s="439"/>
      <c r="AX8" s="439"/>
      <c r="AY8" s="439"/>
      <c r="AZ8" s="439"/>
      <c r="BA8" s="439"/>
      <c r="BB8" s="439"/>
      <c r="BC8" s="439"/>
      <c r="BD8" s="439"/>
      <c r="BE8" s="439"/>
      <c r="BF8" s="439"/>
      <c r="BG8" s="439"/>
      <c r="BH8" s="439"/>
      <c r="BI8" s="439"/>
      <c r="BJ8" s="439"/>
      <c r="BK8" s="439"/>
      <c r="BL8" s="439"/>
      <c r="BM8" s="439"/>
      <c r="BN8" s="439"/>
      <c r="BO8" s="439"/>
      <c r="BP8" s="439"/>
      <c r="BQ8" s="439"/>
      <c r="BR8" s="439"/>
      <c r="BS8" s="439"/>
      <c r="BT8" s="439"/>
      <c r="BU8" s="439"/>
      <c r="BV8" s="439"/>
      <c r="BW8" s="439"/>
      <c r="BX8" s="439"/>
      <c r="BY8" s="439"/>
      <c r="BZ8" s="439"/>
      <c r="CA8" s="439"/>
      <c r="CB8" s="439"/>
      <c r="CC8" s="439"/>
      <c r="CD8" s="439"/>
      <c r="CE8" s="439"/>
      <c r="CF8" s="439"/>
      <c r="CG8" s="439"/>
      <c r="CH8" s="439"/>
      <c r="CI8" s="439"/>
      <c r="CJ8" s="439"/>
      <c r="CK8" s="439"/>
      <c r="CL8" s="439"/>
      <c r="CM8" s="439"/>
      <c r="CN8" s="439"/>
      <c r="CO8" s="439"/>
      <c r="CP8" s="439"/>
      <c r="CQ8" s="439"/>
      <c r="CR8" s="439"/>
      <c r="CS8" s="439"/>
      <c r="CT8" s="439"/>
      <c r="CU8" s="439"/>
      <c r="CV8" s="439"/>
      <c r="CW8" s="439"/>
      <c r="CX8" s="439"/>
      <c r="CY8" s="439"/>
      <c r="CZ8" s="439"/>
      <c r="DA8" s="439"/>
      <c r="DB8" s="439"/>
      <c r="DC8" s="439"/>
      <c r="DD8" s="439"/>
      <c r="DE8" s="439"/>
      <c r="DF8" s="439"/>
      <c r="DG8" s="439"/>
      <c r="DH8" s="439"/>
      <c r="DI8" s="439"/>
      <c r="DJ8" s="439"/>
      <c r="DK8" s="439"/>
      <c r="DL8" s="439"/>
      <c r="DM8" s="439"/>
      <c r="DN8" s="439"/>
      <c r="DO8" s="439"/>
      <c r="DP8" s="439"/>
      <c r="DQ8" s="439"/>
      <c r="DR8" s="439"/>
      <c r="DS8" s="439"/>
      <c r="DT8" s="439"/>
      <c r="DU8" s="439"/>
      <c r="DV8" s="439"/>
      <c r="DW8" s="439"/>
      <c r="DX8" s="439"/>
      <c r="DY8" s="439"/>
      <c r="DZ8" s="439"/>
      <c r="EA8" s="439"/>
      <c r="EB8" s="439"/>
      <c r="EC8" s="439"/>
      <c r="ED8" s="439"/>
      <c r="EE8" s="439"/>
      <c r="EF8" s="439"/>
      <c r="EG8" s="439"/>
      <c r="EH8" s="439"/>
      <c r="EI8" s="439"/>
      <c r="EJ8" s="439"/>
      <c r="EK8" s="439"/>
      <c r="EL8" s="439"/>
      <c r="EM8" s="439"/>
      <c r="EN8" s="439"/>
      <c r="EO8" s="439"/>
      <c r="EP8" s="439"/>
      <c r="EQ8" s="439"/>
      <c r="ER8" s="439"/>
      <c r="ES8" s="439"/>
      <c r="ET8" s="439"/>
      <c r="EU8" s="439"/>
      <c r="EV8" s="439"/>
      <c r="EW8" s="439"/>
      <c r="EX8" s="439"/>
      <c r="EY8" s="439"/>
      <c r="EZ8" s="439"/>
      <c r="FA8" s="439"/>
      <c r="FB8" s="439"/>
      <c r="FC8" s="439"/>
      <c r="FD8" s="439"/>
      <c r="FE8" s="439"/>
      <c r="FF8" s="439"/>
      <c r="FG8" s="439"/>
      <c r="FH8" s="439"/>
      <c r="FI8" s="439"/>
      <c r="FJ8" s="439"/>
      <c r="FK8" s="439"/>
      <c r="FL8" s="439"/>
      <c r="FM8" s="439"/>
      <c r="FN8" s="439"/>
      <c r="FO8" s="439"/>
      <c r="FP8" s="439"/>
      <c r="FQ8" s="439"/>
      <c r="FR8" s="439"/>
      <c r="FS8" s="439"/>
      <c r="FT8" s="439"/>
      <c r="FU8" s="439"/>
      <c r="FV8" s="439"/>
      <c r="FW8" s="439"/>
      <c r="FX8" s="439"/>
      <c r="FY8" s="439"/>
      <c r="FZ8" s="439"/>
      <c r="GA8" s="439"/>
      <c r="GB8" s="439"/>
      <c r="GC8" s="439"/>
      <c r="GD8" s="439"/>
      <c r="GE8" s="439"/>
      <c r="GF8" s="439"/>
      <c r="GG8" s="439"/>
      <c r="GH8" s="439"/>
      <c r="GI8" s="439"/>
      <c r="GJ8" s="439"/>
      <c r="GK8" s="439"/>
      <c r="GL8" s="439"/>
      <c r="GM8" s="439"/>
      <c r="GN8" s="439"/>
      <c r="GO8" s="439"/>
      <c r="GP8" s="439"/>
      <c r="GQ8" s="439"/>
      <c r="GR8" s="439"/>
      <c r="GS8" s="439"/>
      <c r="GT8" s="439"/>
      <c r="GU8" s="439"/>
      <c r="GV8" s="439"/>
      <c r="GW8" s="439"/>
      <c r="GX8" s="439"/>
      <c r="GY8" s="439"/>
      <c r="GZ8" s="439"/>
      <c r="HA8" s="439"/>
      <c r="HB8" s="439"/>
      <c r="HC8" s="439"/>
      <c r="HD8" s="439"/>
      <c r="HE8" s="439"/>
      <c r="HF8" s="439"/>
      <c r="HG8" s="439"/>
      <c r="HH8" s="439"/>
      <c r="HI8" s="439"/>
      <c r="HJ8" s="439"/>
      <c r="HK8" s="439"/>
      <c r="HL8" s="439"/>
      <c r="HM8" s="439"/>
      <c r="HN8" s="439"/>
      <c r="HO8" s="439"/>
      <c r="HP8" s="439"/>
      <c r="HQ8" s="439"/>
      <c r="HR8" s="439"/>
      <c r="HS8" s="439"/>
      <c r="HT8" s="439"/>
      <c r="HU8" s="439"/>
      <c r="HV8" s="439"/>
      <c r="HW8" s="439"/>
      <c r="HX8" s="439"/>
      <c r="HY8" s="439"/>
      <c r="HZ8" s="439"/>
      <c r="IA8" s="439"/>
      <c r="IB8" s="439"/>
      <c r="IC8" s="439"/>
      <c r="ID8" s="439"/>
      <c r="IE8" s="439"/>
      <c r="IF8" s="439"/>
      <c r="IG8" s="439"/>
      <c r="IH8" s="439"/>
      <c r="II8" s="439"/>
      <c r="IJ8" s="439"/>
      <c r="IK8" s="439"/>
      <c r="IL8" s="439"/>
      <c r="IM8" s="439"/>
      <c r="IN8" s="439"/>
      <c r="IO8" s="439"/>
      <c r="IP8" s="439"/>
      <c r="IQ8" s="439"/>
      <c r="IR8" s="439"/>
      <c r="IS8" s="439"/>
      <c r="IT8" s="439"/>
      <c r="IU8" s="439"/>
      <c r="IV8" s="439"/>
    </row>
    <row r="9" spans="1:256" ht="20.100000000000001" customHeight="1">
      <c r="A9" s="451" t="s">
        <v>432</v>
      </c>
      <c r="B9" s="452" t="s">
        <v>433</v>
      </c>
      <c r="C9" s="453" t="s">
        <v>459</v>
      </c>
      <c r="D9" s="453">
        <v>1.01</v>
      </c>
      <c r="E9" s="454">
        <f>TRUNC((I6+E7)*D9%)</f>
        <v>193490</v>
      </c>
      <c r="F9" s="455"/>
      <c r="G9" s="455"/>
      <c r="H9" s="455"/>
      <c r="I9" s="455"/>
      <c r="J9" s="455"/>
      <c r="K9" s="456">
        <f t="shared" ref="K9:K19" si="0">E9</f>
        <v>193490</v>
      </c>
      <c r="L9" s="457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39"/>
      <c r="AI9" s="439"/>
      <c r="AJ9" s="439"/>
      <c r="AK9" s="439"/>
      <c r="AL9" s="439"/>
      <c r="AM9" s="439"/>
      <c r="AN9" s="439"/>
      <c r="AO9" s="439"/>
      <c r="AP9" s="439"/>
      <c r="AQ9" s="439"/>
      <c r="AR9" s="439"/>
      <c r="AS9" s="439"/>
      <c r="AT9" s="439"/>
      <c r="AU9" s="439"/>
      <c r="AV9" s="439"/>
      <c r="AW9" s="439"/>
      <c r="AX9" s="439"/>
      <c r="AY9" s="439"/>
      <c r="AZ9" s="439"/>
      <c r="BA9" s="439"/>
      <c r="BB9" s="439"/>
      <c r="BC9" s="439"/>
      <c r="BD9" s="439"/>
      <c r="BE9" s="439"/>
      <c r="BF9" s="439"/>
      <c r="BG9" s="439"/>
      <c r="BH9" s="439"/>
      <c r="BI9" s="439"/>
      <c r="BJ9" s="439"/>
      <c r="BK9" s="439"/>
      <c r="BL9" s="439"/>
      <c r="BM9" s="439"/>
      <c r="BN9" s="439"/>
      <c r="BO9" s="439"/>
      <c r="BP9" s="439"/>
      <c r="BQ9" s="439"/>
      <c r="BR9" s="439"/>
      <c r="BS9" s="439"/>
      <c r="BT9" s="439"/>
      <c r="BU9" s="439"/>
      <c r="BV9" s="439"/>
      <c r="BW9" s="439"/>
      <c r="BX9" s="439"/>
      <c r="BY9" s="439"/>
      <c r="BZ9" s="439"/>
      <c r="CA9" s="439"/>
      <c r="CB9" s="439"/>
      <c r="CC9" s="439"/>
      <c r="CD9" s="439"/>
      <c r="CE9" s="439"/>
      <c r="CF9" s="439"/>
      <c r="CG9" s="439"/>
      <c r="CH9" s="439"/>
      <c r="CI9" s="439"/>
      <c r="CJ9" s="439"/>
      <c r="CK9" s="439"/>
      <c r="CL9" s="439"/>
      <c r="CM9" s="439"/>
      <c r="CN9" s="439"/>
      <c r="CO9" s="439"/>
      <c r="CP9" s="439"/>
      <c r="CQ9" s="439"/>
      <c r="CR9" s="439"/>
      <c r="CS9" s="439"/>
      <c r="CT9" s="439"/>
      <c r="CU9" s="439"/>
      <c r="CV9" s="439"/>
      <c r="CW9" s="439"/>
      <c r="CX9" s="439"/>
      <c r="CY9" s="439"/>
      <c r="CZ9" s="439"/>
      <c r="DA9" s="439"/>
      <c r="DB9" s="439"/>
      <c r="DC9" s="439"/>
      <c r="DD9" s="439"/>
      <c r="DE9" s="439"/>
      <c r="DF9" s="439"/>
      <c r="DG9" s="439"/>
      <c r="DH9" s="439"/>
      <c r="DI9" s="439"/>
      <c r="DJ9" s="439"/>
      <c r="DK9" s="439"/>
      <c r="DL9" s="439"/>
      <c r="DM9" s="439"/>
      <c r="DN9" s="439"/>
      <c r="DO9" s="439"/>
      <c r="DP9" s="439"/>
      <c r="DQ9" s="439"/>
      <c r="DR9" s="439"/>
      <c r="DS9" s="439"/>
      <c r="DT9" s="439"/>
      <c r="DU9" s="439"/>
      <c r="DV9" s="439"/>
      <c r="DW9" s="439"/>
      <c r="DX9" s="439"/>
      <c r="DY9" s="439"/>
      <c r="DZ9" s="439"/>
      <c r="EA9" s="439"/>
      <c r="EB9" s="439"/>
      <c r="EC9" s="439"/>
      <c r="ED9" s="439"/>
      <c r="EE9" s="439"/>
      <c r="EF9" s="439"/>
      <c r="EG9" s="439"/>
      <c r="EH9" s="439"/>
      <c r="EI9" s="439"/>
      <c r="EJ9" s="439"/>
      <c r="EK9" s="439"/>
      <c r="EL9" s="439"/>
      <c r="EM9" s="439"/>
      <c r="EN9" s="439"/>
      <c r="EO9" s="439"/>
      <c r="EP9" s="439"/>
      <c r="EQ9" s="439"/>
      <c r="ER9" s="439"/>
      <c r="ES9" s="439"/>
      <c r="ET9" s="439"/>
      <c r="EU9" s="439"/>
      <c r="EV9" s="439"/>
      <c r="EW9" s="439"/>
      <c r="EX9" s="439"/>
      <c r="EY9" s="439"/>
      <c r="EZ9" s="439"/>
      <c r="FA9" s="439"/>
      <c r="FB9" s="439"/>
      <c r="FC9" s="439"/>
      <c r="FD9" s="439"/>
      <c r="FE9" s="439"/>
      <c r="FF9" s="439"/>
      <c r="FG9" s="439"/>
      <c r="FH9" s="439"/>
      <c r="FI9" s="439"/>
      <c r="FJ9" s="439"/>
      <c r="FK9" s="439"/>
      <c r="FL9" s="439"/>
      <c r="FM9" s="439"/>
      <c r="FN9" s="439"/>
      <c r="FO9" s="439"/>
      <c r="FP9" s="439"/>
      <c r="FQ9" s="439"/>
      <c r="FR9" s="439"/>
      <c r="FS9" s="439"/>
      <c r="FT9" s="439"/>
      <c r="FU9" s="439"/>
      <c r="FV9" s="439"/>
      <c r="FW9" s="439"/>
      <c r="FX9" s="439"/>
      <c r="FY9" s="439"/>
      <c r="FZ9" s="439"/>
      <c r="GA9" s="439"/>
      <c r="GB9" s="439"/>
      <c r="GC9" s="439"/>
      <c r="GD9" s="439"/>
      <c r="GE9" s="439"/>
      <c r="GF9" s="439"/>
      <c r="GG9" s="439"/>
      <c r="GH9" s="439"/>
      <c r="GI9" s="439"/>
      <c r="GJ9" s="439"/>
      <c r="GK9" s="439"/>
      <c r="GL9" s="439"/>
      <c r="GM9" s="439"/>
      <c r="GN9" s="439"/>
      <c r="GO9" s="439"/>
      <c r="GP9" s="439"/>
      <c r="GQ9" s="439"/>
      <c r="GR9" s="439"/>
      <c r="GS9" s="439"/>
      <c r="GT9" s="439"/>
      <c r="GU9" s="439"/>
      <c r="GV9" s="439"/>
      <c r="GW9" s="439"/>
      <c r="GX9" s="439"/>
      <c r="GY9" s="439"/>
      <c r="GZ9" s="439"/>
      <c r="HA9" s="439"/>
      <c r="HB9" s="439"/>
      <c r="HC9" s="439"/>
      <c r="HD9" s="439"/>
      <c r="HE9" s="439"/>
      <c r="HF9" s="439"/>
      <c r="HG9" s="439"/>
      <c r="HH9" s="439"/>
      <c r="HI9" s="439"/>
      <c r="HJ9" s="439"/>
      <c r="HK9" s="439"/>
      <c r="HL9" s="439"/>
      <c r="HM9" s="439"/>
      <c r="HN9" s="439"/>
      <c r="HO9" s="439"/>
      <c r="HP9" s="439"/>
      <c r="HQ9" s="439"/>
      <c r="HR9" s="439"/>
      <c r="HS9" s="439"/>
      <c r="HT9" s="439"/>
      <c r="HU9" s="439"/>
      <c r="HV9" s="439"/>
      <c r="HW9" s="439"/>
      <c r="HX9" s="439"/>
      <c r="HY9" s="439"/>
      <c r="HZ9" s="439"/>
      <c r="IA9" s="439"/>
      <c r="IB9" s="439"/>
      <c r="IC9" s="439"/>
      <c r="ID9" s="439"/>
      <c r="IE9" s="439"/>
      <c r="IF9" s="439"/>
      <c r="IG9" s="439"/>
      <c r="IH9" s="439"/>
      <c r="II9" s="439"/>
      <c r="IJ9" s="439"/>
      <c r="IK9" s="439"/>
      <c r="IL9" s="439"/>
      <c r="IM9" s="439"/>
      <c r="IN9" s="439"/>
      <c r="IO9" s="439"/>
      <c r="IP9" s="439"/>
      <c r="IQ9" s="439"/>
      <c r="IR9" s="439"/>
      <c r="IS9" s="439"/>
      <c r="IT9" s="439"/>
      <c r="IU9" s="439"/>
      <c r="IV9" s="439"/>
    </row>
    <row r="10" spans="1:256" ht="20.100000000000001" customHeight="1">
      <c r="A10" s="458" t="s">
        <v>434</v>
      </c>
      <c r="B10" s="452" t="s">
        <v>435</v>
      </c>
      <c r="C10" s="453" t="s">
        <v>459</v>
      </c>
      <c r="D10" s="453">
        <v>3.43</v>
      </c>
      <c r="E10" s="454">
        <f>TRUNC((I6)*D10%)</f>
        <v>577418</v>
      </c>
      <c r="F10" s="455"/>
      <c r="G10" s="455"/>
      <c r="H10" s="455"/>
      <c r="I10" s="455"/>
      <c r="J10" s="455"/>
      <c r="K10" s="456">
        <f t="shared" si="0"/>
        <v>577418</v>
      </c>
      <c r="L10" s="457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  <c r="AZ10" s="439"/>
      <c r="BA10" s="439"/>
      <c r="BB10" s="439"/>
      <c r="BC10" s="439"/>
      <c r="BD10" s="439"/>
      <c r="BE10" s="439"/>
      <c r="BF10" s="439"/>
      <c r="BG10" s="439"/>
      <c r="BH10" s="439"/>
      <c r="BI10" s="439"/>
      <c r="BJ10" s="439"/>
      <c r="BK10" s="439"/>
      <c r="BL10" s="439"/>
      <c r="BM10" s="439"/>
      <c r="BN10" s="439"/>
      <c r="BO10" s="439"/>
      <c r="BP10" s="439"/>
      <c r="BQ10" s="439"/>
      <c r="BR10" s="439"/>
      <c r="BS10" s="439"/>
      <c r="BT10" s="439"/>
      <c r="BU10" s="439"/>
      <c r="BV10" s="439"/>
      <c r="BW10" s="439"/>
      <c r="BX10" s="439"/>
      <c r="BY10" s="439"/>
      <c r="BZ10" s="439"/>
      <c r="CA10" s="439"/>
      <c r="CB10" s="439"/>
      <c r="CC10" s="439"/>
      <c r="CD10" s="439"/>
      <c r="CE10" s="439"/>
      <c r="CF10" s="439"/>
      <c r="CG10" s="439"/>
      <c r="CH10" s="439"/>
      <c r="CI10" s="439"/>
      <c r="CJ10" s="439"/>
      <c r="CK10" s="439"/>
      <c r="CL10" s="439"/>
      <c r="CM10" s="439"/>
      <c r="CN10" s="439"/>
      <c r="CO10" s="439"/>
      <c r="CP10" s="439"/>
      <c r="CQ10" s="439"/>
      <c r="CR10" s="439"/>
      <c r="CS10" s="439"/>
      <c r="CT10" s="439"/>
      <c r="CU10" s="439"/>
      <c r="CV10" s="439"/>
      <c r="CW10" s="439"/>
      <c r="CX10" s="439"/>
      <c r="CY10" s="439"/>
      <c r="CZ10" s="439"/>
      <c r="DA10" s="439"/>
      <c r="DB10" s="439"/>
      <c r="DC10" s="439"/>
      <c r="DD10" s="439"/>
      <c r="DE10" s="439"/>
      <c r="DF10" s="439"/>
      <c r="DG10" s="439"/>
      <c r="DH10" s="439"/>
      <c r="DI10" s="439"/>
      <c r="DJ10" s="439"/>
      <c r="DK10" s="439"/>
      <c r="DL10" s="439"/>
      <c r="DM10" s="439"/>
      <c r="DN10" s="439"/>
      <c r="DO10" s="439"/>
      <c r="DP10" s="439"/>
      <c r="DQ10" s="439"/>
      <c r="DR10" s="439"/>
      <c r="DS10" s="439"/>
      <c r="DT10" s="439"/>
      <c r="DU10" s="439"/>
      <c r="DV10" s="439"/>
      <c r="DW10" s="439"/>
      <c r="DX10" s="439"/>
      <c r="DY10" s="439"/>
      <c r="DZ10" s="439"/>
      <c r="EA10" s="439"/>
      <c r="EB10" s="439"/>
      <c r="EC10" s="439"/>
      <c r="ED10" s="439"/>
      <c r="EE10" s="439"/>
      <c r="EF10" s="439"/>
      <c r="EG10" s="439"/>
      <c r="EH10" s="439"/>
      <c r="EI10" s="439"/>
      <c r="EJ10" s="439"/>
      <c r="EK10" s="439"/>
      <c r="EL10" s="439"/>
      <c r="EM10" s="439"/>
      <c r="EN10" s="439"/>
      <c r="EO10" s="439"/>
      <c r="EP10" s="439"/>
      <c r="EQ10" s="439"/>
      <c r="ER10" s="439"/>
      <c r="ES10" s="439"/>
      <c r="ET10" s="439"/>
      <c r="EU10" s="439"/>
      <c r="EV10" s="439"/>
      <c r="EW10" s="439"/>
      <c r="EX10" s="439"/>
      <c r="EY10" s="439"/>
      <c r="EZ10" s="439"/>
      <c r="FA10" s="439"/>
      <c r="FB10" s="439"/>
      <c r="FC10" s="439"/>
      <c r="FD10" s="439"/>
      <c r="FE10" s="439"/>
      <c r="FF10" s="439"/>
      <c r="FG10" s="439"/>
      <c r="FH10" s="439"/>
      <c r="FI10" s="439"/>
      <c r="FJ10" s="439"/>
      <c r="FK10" s="439"/>
      <c r="FL10" s="439"/>
      <c r="FM10" s="439"/>
      <c r="FN10" s="439"/>
      <c r="FO10" s="439"/>
      <c r="FP10" s="439"/>
      <c r="FQ10" s="439"/>
      <c r="FR10" s="439"/>
      <c r="FS10" s="439"/>
      <c r="FT10" s="439"/>
      <c r="FU10" s="439"/>
      <c r="FV10" s="439"/>
      <c r="FW10" s="439"/>
      <c r="FX10" s="439"/>
      <c r="FY10" s="439"/>
      <c r="FZ10" s="439"/>
      <c r="GA10" s="439"/>
      <c r="GB10" s="439"/>
      <c r="GC10" s="439"/>
      <c r="GD10" s="439"/>
      <c r="GE10" s="439"/>
      <c r="GF10" s="439"/>
      <c r="GG10" s="439"/>
      <c r="GH10" s="439"/>
      <c r="GI10" s="439"/>
      <c r="GJ10" s="439"/>
      <c r="GK10" s="439"/>
      <c r="GL10" s="439"/>
      <c r="GM10" s="439"/>
      <c r="GN10" s="439"/>
      <c r="GO10" s="439"/>
      <c r="GP10" s="439"/>
      <c r="GQ10" s="439"/>
      <c r="GR10" s="439"/>
      <c r="GS10" s="439"/>
      <c r="GT10" s="439"/>
      <c r="GU10" s="439"/>
      <c r="GV10" s="439"/>
      <c r="GW10" s="439"/>
      <c r="GX10" s="439"/>
      <c r="GY10" s="439"/>
      <c r="GZ10" s="439"/>
      <c r="HA10" s="439"/>
      <c r="HB10" s="439"/>
      <c r="HC10" s="439"/>
      <c r="HD10" s="439"/>
      <c r="HE10" s="439"/>
      <c r="HF10" s="439"/>
      <c r="HG10" s="439"/>
      <c r="HH10" s="439"/>
      <c r="HI10" s="439"/>
      <c r="HJ10" s="439"/>
      <c r="HK10" s="439"/>
      <c r="HL10" s="439"/>
      <c r="HM10" s="439"/>
      <c r="HN10" s="439"/>
      <c r="HO10" s="439"/>
      <c r="HP10" s="439"/>
      <c r="HQ10" s="439"/>
      <c r="HR10" s="439"/>
      <c r="HS10" s="439"/>
      <c r="HT10" s="439"/>
      <c r="HU10" s="439"/>
      <c r="HV10" s="439"/>
      <c r="HW10" s="439"/>
      <c r="HX10" s="439"/>
      <c r="HY10" s="439"/>
      <c r="HZ10" s="439"/>
      <c r="IA10" s="439"/>
      <c r="IB10" s="439"/>
      <c r="IC10" s="439"/>
      <c r="ID10" s="439"/>
      <c r="IE10" s="439"/>
      <c r="IF10" s="439"/>
      <c r="IG10" s="439"/>
      <c r="IH10" s="439"/>
      <c r="II10" s="439"/>
      <c r="IJ10" s="439"/>
      <c r="IK10" s="439"/>
      <c r="IL10" s="439"/>
      <c r="IM10" s="439"/>
      <c r="IN10" s="439"/>
      <c r="IO10" s="439"/>
      <c r="IP10" s="439"/>
      <c r="IQ10" s="439"/>
      <c r="IR10" s="439"/>
      <c r="IS10" s="439"/>
      <c r="IT10" s="439"/>
      <c r="IU10" s="439"/>
      <c r="IV10" s="439"/>
    </row>
    <row r="11" spans="1:256" ht="20.100000000000001" customHeight="1">
      <c r="A11" s="458" t="s">
        <v>436</v>
      </c>
      <c r="B11" s="452" t="s">
        <v>437</v>
      </c>
      <c r="C11" s="453" t="s">
        <v>459</v>
      </c>
      <c r="D11" s="453">
        <v>4.5</v>
      </c>
      <c r="E11" s="454">
        <f>TRUNC((I6)*D11%)</f>
        <v>757546</v>
      </c>
      <c r="F11" s="455"/>
      <c r="G11" s="455"/>
      <c r="H11" s="455"/>
      <c r="I11" s="455"/>
      <c r="J11" s="455"/>
      <c r="K11" s="456">
        <f t="shared" si="0"/>
        <v>757546</v>
      </c>
      <c r="L11" s="457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39"/>
      <c r="AL11" s="439"/>
      <c r="AM11" s="439"/>
      <c r="AN11" s="439"/>
      <c r="AO11" s="439"/>
      <c r="AP11" s="439"/>
      <c r="AQ11" s="439"/>
      <c r="AR11" s="439"/>
      <c r="AS11" s="439"/>
      <c r="AT11" s="439"/>
      <c r="AU11" s="439"/>
      <c r="AV11" s="439"/>
      <c r="AW11" s="439"/>
      <c r="AX11" s="439"/>
      <c r="AY11" s="439"/>
      <c r="AZ11" s="439"/>
      <c r="BA11" s="439"/>
      <c r="BB11" s="439"/>
      <c r="BC11" s="439"/>
      <c r="BD11" s="439"/>
      <c r="BE11" s="439"/>
      <c r="BF11" s="439"/>
      <c r="BG11" s="439"/>
      <c r="BH11" s="439"/>
      <c r="BI11" s="439"/>
      <c r="BJ11" s="439"/>
      <c r="BK11" s="439"/>
      <c r="BL11" s="439"/>
      <c r="BM11" s="439"/>
      <c r="BN11" s="439"/>
      <c r="BO11" s="439"/>
      <c r="BP11" s="439"/>
      <c r="BQ11" s="439"/>
      <c r="BR11" s="439"/>
      <c r="BS11" s="439"/>
      <c r="BT11" s="439"/>
      <c r="BU11" s="439"/>
      <c r="BV11" s="439"/>
      <c r="BW11" s="439"/>
      <c r="BX11" s="439"/>
      <c r="BY11" s="439"/>
      <c r="BZ11" s="439"/>
      <c r="CA11" s="439"/>
      <c r="CB11" s="439"/>
      <c r="CC11" s="439"/>
      <c r="CD11" s="439"/>
      <c r="CE11" s="439"/>
      <c r="CF11" s="439"/>
      <c r="CG11" s="439"/>
      <c r="CH11" s="439"/>
      <c r="CI11" s="439"/>
      <c r="CJ11" s="439"/>
      <c r="CK11" s="439"/>
      <c r="CL11" s="439"/>
      <c r="CM11" s="439"/>
      <c r="CN11" s="439"/>
      <c r="CO11" s="439"/>
      <c r="CP11" s="439"/>
      <c r="CQ11" s="439"/>
      <c r="CR11" s="439"/>
      <c r="CS11" s="439"/>
      <c r="CT11" s="439"/>
      <c r="CU11" s="439"/>
      <c r="CV11" s="439"/>
      <c r="CW11" s="439"/>
      <c r="CX11" s="439"/>
      <c r="CY11" s="439"/>
      <c r="CZ11" s="439"/>
      <c r="DA11" s="439"/>
      <c r="DB11" s="439"/>
      <c r="DC11" s="439"/>
      <c r="DD11" s="439"/>
      <c r="DE11" s="439"/>
      <c r="DF11" s="439"/>
      <c r="DG11" s="439"/>
      <c r="DH11" s="439"/>
      <c r="DI11" s="439"/>
      <c r="DJ11" s="439"/>
      <c r="DK11" s="439"/>
      <c r="DL11" s="439"/>
      <c r="DM11" s="439"/>
      <c r="DN11" s="439"/>
      <c r="DO11" s="439"/>
      <c r="DP11" s="439"/>
      <c r="DQ11" s="439"/>
      <c r="DR11" s="439"/>
      <c r="DS11" s="439"/>
      <c r="DT11" s="439"/>
      <c r="DU11" s="439"/>
      <c r="DV11" s="439"/>
      <c r="DW11" s="439"/>
      <c r="DX11" s="439"/>
      <c r="DY11" s="439"/>
      <c r="DZ11" s="439"/>
      <c r="EA11" s="439"/>
      <c r="EB11" s="439"/>
      <c r="EC11" s="439"/>
      <c r="ED11" s="439"/>
      <c r="EE11" s="439"/>
      <c r="EF11" s="439"/>
      <c r="EG11" s="439"/>
      <c r="EH11" s="439"/>
      <c r="EI11" s="439"/>
      <c r="EJ11" s="439"/>
      <c r="EK11" s="439"/>
      <c r="EL11" s="439"/>
      <c r="EM11" s="439"/>
      <c r="EN11" s="439"/>
      <c r="EO11" s="439"/>
      <c r="EP11" s="439"/>
      <c r="EQ11" s="439"/>
      <c r="ER11" s="439"/>
      <c r="ES11" s="439"/>
      <c r="ET11" s="439"/>
      <c r="EU11" s="439"/>
      <c r="EV11" s="439"/>
      <c r="EW11" s="439"/>
      <c r="EX11" s="439"/>
      <c r="EY11" s="439"/>
      <c r="EZ11" s="439"/>
      <c r="FA11" s="439"/>
      <c r="FB11" s="439"/>
      <c r="FC11" s="439"/>
      <c r="FD11" s="439"/>
      <c r="FE11" s="439"/>
      <c r="FF11" s="439"/>
      <c r="FG11" s="439"/>
      <c r="FH11" s="439"/>
      <c r="FI11" s="439"/>
      <c r="FJ11" s="439"/>
      <c r="FK11" s="439"/>
      <c r="FL11" s="439"/>
      <c r="FM11" s="439"/>
      <c r="FN11" s="439"/>
      <c r="FO11" s="439"/>
      <c r="FP11" s="439"/>
      <c r="FQ11" s="439"/>
      <c r="FR11" s="439"/>
      <c r="FS11" s="439"/>
      <c r="FT11" s="439"/>
      <c r="FU11" s="439"/>
      <c r="FV11" s="439"/>
      <c r="FW11" s="439"/>
      <c r="FX11" s="439"/>
      <c r="FY11" s="439"/>
      <c r="FZ11" s="439"/>
      <c r="GA11" s="439"/>
      <c r="GB11" s="439"/>
      <c r="GC11" s="439"/>
      <c r="GD11" s="439"/>
      <c r="GE11" s="439"/>
      <c r="GF11" s="439"/>
      <c r="GG11" s="439"/>
      <c r="GH11" s="439"/>
      <c r="GI11" s="439"/>
      <c r="GJ11" s="439"/>
      <c r="GK11" s="439"/>
      <c r="GL11" s="439"/>
      <c r="GM11" s="439"/>
      <c r="GN11" s="439"/>
      <c r="GO11" s="439"/>
      <c r="GP11" s="439"/>
      <c r="GQ11" s="439"/>
      <c r="GR11" s="439"/>
      <c r="GS11" s="439"/>
      <c r="GT11" s="439"/>
      <c r="GU11" s="439"/>
      <c r="GV11" s="439"/>
      <c r="GW11" s="439"/>
      <c r="GX11" s="439"/>
      <c r="GY11" s="439"/>
      <c r="GZ11" s="439"/>
      <c r="HA11" s="439"/>
      <c r="HB11" s="439"/>
      <c r="HC11" s="439"/>
      <c r="HD11" s="439"/>
      <c r="HE11" s="439"/>
      <c r="HF11" s="439"/>
      <c r="HG11" s="439"/>
      <c r="HH11" s="439"/>
      <c r="HI11" s="439"/>
      <c r="HJ11" s="439"/>
      <c r="HK11" s="439"/>
      <c r="HL11" s="439"/>
      <c r="HM11" s="439"/>
      <c r="HN11" s="439"/>
      <c r="HO11" s="439"/>
      <c r="HP11" s="439"/>
      <c r="HQ11" s="439"/>
      <c r="HR11" s="439"/>
      <c r="HS11" s="439"/>
      <c r="HT11" s="439"/>
      <c r="HU11" s="439"/>
      <c r="HV11" s="439"/>
      <c r="HW11" s="439"/>
      <c r="HX11" s="439"/>
      <c r="HY11" s="439"/>
      <c r="HZ11" s="439"/>
      <c r="IA11" s="439"/>
      <c r="IB11" s="439"/>
      <c r="IC11" s="439"/>
      <c r="ID11" s="439"/>
      <c r="IE11" s="439"/>
      <c r="IF11" s="439"/>
      <c r="IG11" s="439"/>
      <c r="IH11" s="439"/>
      <c r="II11" s="439"/>
      <c r="IJ11" s="439"/>
      <c r="IK11" s="439"/>
      <c r="IL11" s="439"/>
      <c r="IM11" s="439"/>
      <c r="IN11" s="439"/>
      <c r="IO11" s="439"/>
      <c r="IP11" s="439"/>
      <c r="IQ11" s="439"/>
      <c r="IR11" s="439"/>
      <c r="IS11" s="439"/>
      <c r="IT11" s="439"/>
      <c r="IU11" s="439"/>
      <c r="IV11" s="439"/>
    </row>
    <row r="12" spans="1:256" ht="20.100000000000001" customHeight="1">
      <c r="A12" s="458" t="s">
        <v>438</v>
      </c>
      <c r="B12" s="452" t="s">
        <v>439</v>
      </c>
      <c r="C12" s="453" t="s">
        <v>459</v>
      </c>
      <c r="D12" s="453">
        <v>11.52</v>
      </c>
      <c r="E12" s="454">
        <f>TRUNC(E10*D12%)</f>
        <v>66518</v>
      </c>
      <c r="F12" s="455"/>
      <c r="G12" s="455"/>
      <c r="H12" s="455"/>
      <c r="I12" s="455"/>
      <c r="J12" s="455"/>
      <c r="K12" s="456">
        <f t="shared" si="0"/>
        <v>66518</v>
      </c>
      <c r="L12" s="457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39"/>
      <c r="AA12" s="439"/>
      <c r="AB12" s="439"/>
      <c r="AC12" s="439"/>
      <c r="AD12" s="439"/>
      <c r="AE12" s="439"/>
      <c r="AF12" s="439"/>
      <c r="AG12" s="439"/>
      <c r="AH12" s="439"/>
      <c r="AI12" s="439"/>
      <c r="AJ12" s="439"/>
      <c r="AK12" s="439"/>
      <c r="AL12" s="439"/>
      <c r="AM12" s="439"/>
      <c r="AN12" s="439"/>
      <c r="AO12" s="439"/>
      <c r="AP12" s="439"/>
      <c r="AQ12" s="439"/>
      <c r="AR12" s="439"/>
      <c r="AS12" s="439"/>
      <c r="AT12" s="439"/>
      <c r="AU12" s="439"/>
      <c r="AV12" s="439"/>
      <c r="AW12" s="439"/>
      <c r="AX12" s="439"/>
      <c r="AY12" s="439"/>
      <c r="AZ12" s="439"/>
      <c r="BA12" s="439"/>
      <c r="BB12" s="439"/>
      <c r="BC12" s="439"/>
      <c r="BD12" s="439"/>
      <c r="BE12" s="439"/>
      <c r="BF12" s="439"/>
      <c r="BG12" s="439"/>
      <c r="BH12" s="439"/>
      <c r="BI12" s="439"/>
      <c r="BJ12" s="439"/>
      <c r="BK12" s="439"/>
      <c r="BL12" s="439"/>
      <c r="BM12" s="439"/>
      <c r="BN12" s="439"/>
      <c r="BO12" s="439"/>
      <c r="BP12" s="439"/>
      <c r="BQ12" s="439"/>
      <c r="BR12" s="439"/>
      <c r="BS12" s="439"/>
      <c r="BT12" s="439"/>
      <c r="BU12" s="439"/>
      <c r="BV12" s="439"/>
      <c r="BW12" s="439"/>
      <c r="BX12" s="439"/>
      <c r="BY12" s="439"/>
      <c r="BZ12" s="439"/>
      <c r="CA12" s="439"/>
      <c r="CB12" s="439"/>
      <c r="CC12" s="439"/>
      <c r="CD12" s="439"/>
      <c r="CE12" s="439"/>
      <c r="CF12" s="439"/>
      <c r="CG12" s="439"/>
      <c r="CH12" s="439"/>
      <c r="CI12" s="439"/>
      <c r="CJ12" s="439"/>
      <c r="CK12" s="439"/>
      <c r="CL12" s="439"/>
      <c r="CM12" s="439"/>
      <c r="CN12" s="439"/>
      <c r="CO12" s="439"/>
      <c r="CP12" s="439"/>
      <c r="CQ12" s="439"/>
      <c r="CR12" s="439"/>
      <c r="CS12" s="439"/>
      <c r="CT12" s="439"/>
      <c r="CU12" s="439"/>
      <c r="CV12" s="439"/>
      <c r="CW12" s="439"/>
      <c r="CX12" s="439"/>
      <c r="CY12" s="439"/>
      <c r="CZ12" s="439"/>
      <c r="DA12" s="439"/>
      <c r="DB12" s="439"/>
      <c r="DC12" s="439"/>
      <c r="DD12" s="439"/>
      <c r="DE12" s="439"/>
      <c r="DF12" s="439"/>
      <c r="DG12" s="439"/>
      <c r="DH12" s="439"/>
      <c r="DI12" s="439"/>
      <c r="DJ12" s="439"/>
      <c r="DK12" s="439"/>
      <c r="DL12" s="439"/>
      <c r="DM12" s="439"/>
      <c r="DN12" s="439"/>
      <c r="DO12" s="439"/>
      <c r="DP12" s="439"/>
      <c r="DQ12" s="439"/>
      <c r="DR12" s="439"/>
      <c r="DS12" s="439"/>
      <c r="DT12" s="439"/>
      <c r="DU12" s="439"/>
      <c r="DV12" s="439"/>
      <c r="DW12" s="439"/>
      <c r="DX12" s="439"/>
      <c r="DY12" s="439"/>
      <c r="DZ12" s="439"/>
      <c r="EA12" s="439"/>
      <c r="EB12" s="439"/>
      <c r="EC12" s="439"/>
      <c r="ED12" s="439"/>
      <c r="EE12" s="439"/>
      <c r="EF12" s="439"/>
      <c r="EG12" s="439"/>
      <c r="EH12" s="439"/>
      <c r="EI12" s="439"/>
      <c r="EJ12" s="439"/>
      <c r="EK12" s="439"/>
      <c r="EL12" s="439"/>
      <c r="EM12" s="439"/>
      <c r="EN12" s="439"/>
      <c r="EO12" s="439"/>
      <c r="EP12" s="439"/>
      <c r="EQ12" s="439"/>
      <c r="ER12" s="439"/>
      <c r="ES12" s="439"/>
      <c r="ET12" s="439"/>
      <c r="EU12" s="439"/>
      <c r="EV12" s="439"/>
      <c r="EW12" s="439"/>
      <c r="EX12" s="439"/>
      <c r="EY12" s="439"/>
      <c r="EZ12" s="439"/>
      <c r="FA12" s="439"/>
      <c r="FB12" s="439"/>
      <c r="FC12" s="439"/>
      <c r="FD12" s="439"/>
      <c r="FE12" s="439"/>
      <c r="FF12" s="439"/>
      <c r="FG12" s="439"/>
      <c r="FH12" s="439"/>
      <c r="FI12" s="439"/>
      <c r="FJ12" s="439"/>
      <c r="FK12" s="439"/>
      <c r="FL12" s="439"/>
      <c r="FM12" s="439"/>
      <c r="FN12" s="439"/>
      <c r="FO12" s="439"/>
      <c r="FP12" s="439"/>
      <c r="FQ12" s="439"/>
      <c r="FR12" s="439"/>
      <c r="FS12" s="439"/>
      <c r="FT12" s="439"/>
      <c r="FU12" s="439"/>
      <c r="FV12" s="439"/>
      <c r="FW12" s="439"/>
      <c r="FX12" s="439"/>
      <c r="FY12" s="439"/>
      <c r="FZ12" s="439"/>
      <c r="GA12" s="439"/>
      <c r="GB12" s="439"/>
      <c r="GC12" s="439"/>
      <c r="GD12" s="439"/>
      <c r="GE12" s="439"/>
      <c r="GF12" s="439"/>
      <c r="GG12" s="439"/>
      <c r="GH12" s="439"/>
      <c r="GI12" s="439"/>
      <c r="GJ12" s="439"/>
      <c r="GK12" s="439"/>
      <c r="GL12" s="439"/>
      <c r="GM12" s="439"/>
      <c r="GN12" s="439"/>
      <c r="GO12" s="439"/>
      <c r="GP12" s="439"/>
      <c r="GQ12" s="439"/>
      <c r="GR12" s="439"/>
      <c r="GS12" s="439"/>
      <c r="GT12" s="439"/>
      <c r="GU12" s="439"/>
      <c r="GV12" s="439"/>
      <c r="GW12" s="439"/>
      <c r="GX12" s="439"/>
      <c r="GY12" s="439"/>
      <c r="GZ12" s="439"/>
      <c r="HA12" s="439"/>
      <c r="HB12" s="439"/>
      <c r="HC12" s="439"/>
      <c r="HD12" s="439"/>
      <c r="HE12" s="439"/>
      <c r="HF12" s="439"/>
      <c r="HG12" s="439"/>
      <c r="HH12" s="439"/>
      <c r="HI12" s="439"/>
      <c r="HJ12" s="439"/>
      <c r="HK12" s="439"/>
      <c r="HL12" s="439"/>
      <c r="HM12" s="439"/>
      <c r="HN12" s="439"/>
      <c r="HO12" s="439"/>
      <c r="HP12" s="439"/>
      <c r="HQ12" s="439"/>
      <c r="HR12" s="439"/>
      <c r="HS12" s="439"/>
      <c r="HT12" s="439"/>
      <c r="HU12" s="439"/>
      <c r="HV12" s="439"/>
      <c r="HW12" s="439"/>
      <c r="HX12" s="439"/>
      <c r="HY12" s="439"/>
      <c r="HZ12" s="439"/>
      <c r="IA12" s="439"/>
      <c r="IB12" s="439"/>
      <c r="IC12" s="439"/>
      <c r="ID12" s="439"/>
      <c r="IE12" s="439"/>
      <c r="IF12" s="439"/>
      <c r="IG12" s="439"/>
      <c r="IH12" s="439"/>
      <c r="II12" s="439"/>
      <c r="IJ12" s="439"/>
      <c r="IK12" s="439"/>
      <c r="IL12" s="439"/>
      <c r="IM12" s="439"/>
      <c r="IN12" s="439"/>
      <c r="IO12" s="439"/>
      <c r="IP12" s="439"/>
      <c r="IQ12" s="439"/>
      <c r="IR12" s="439"/>
      <c r="IS12" s="439"/>
      <c r="IT12" s="439"/>
      <c r="IU12" s="439"/>
      <c r="IV12" s="439"/>
    </row>
    <row r="13" spans="1:256" ht="20.100000000000001" customHeight="1">
      <c r="A13" s="458" t="s">
        <v>440</v>
      </c>
      <c r="B13" s="452" t="s">
        <v>441</v>
      </c>
      <c r="C13" s="453" t="s">
        <v>459</v>
      </c>
      <c r="D13" s="453">
        <v>2.2999999999999998</v>
      </c>
      <c r="E13" s="454">
        <f>TRUNC(I6*D13%)</f>
        <v>387190</v>
      </c>
      <c r="F13" s="455"/>
      <c r="G13" s="455"/>
      <c r="H13" s="455"/>
      <c r="I13" s="455"/>
      <c r="J13" s="455"/>
      <c r="K13" s="456">
        <f t="shared" si="0"/>
        <v>387190</v>
      </c>
      <c r="L13" s="457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39"/>
      <c r="AL13" s="439"/>
      <c r="AM13" s="439"/>
      <c r="AN13" s="439"/>
      <c r="AO13" s="439"/>
      <c r="AP13" s="439"/>
      <c r="AQ13" s="439"/>
      <c r="AR13" s="439"/>
      <c r="AS13" s="439"/>
      <c r="AT13" s="439"/>
      <c r="AU13" s="439"/>
      <c r="AV13" s="439"/>
      <c r="AW13" s="439"/>
      <c r="AX13" s="439"/>
      <c r="AY13" s="439"/>
      <c r="AZ13" s="439"/>
      <c r="BA13" s="439"/>
      <c r="BB13" s="439"/>
      <c r="BC13" s="439"/>
      <c r="BD13" s="439"/>
      <c r="BE13" s="439"/>
      <c r="BF13" s="439"/>
      <c r="BG13" s="439"/>
      <c r="BH13" s="439"/>
      <c r="BI13" s="439"/>
      <c r="BJ13" s="439"/>
      <c r="BK13" s="439"/>
      <c r="BL13" s="439"/>
      <c r="BM13" s="439"/>
      <c r="BN13" s="439"/>
      <c r="BO13" s="439"/>
      <c r="BP13" s="439"/>
      <c r="BQ13" s="439"/>
      <c r="BR13" s="439"/>
      <c r="BS13" s="439"/>
      <c r="BT13" s="439"/>
      <c r="BU13" s="439"/>
      <c r="BV13" s="439"/>
      <c r="BW13" s="439"/>
      <c r="BX13" s="439"/>
      <c r="BY13" s="439"/>
      <c r="BZ13" s="439"/>
      <c r="CA13" s="439"/>
      <c r="CB13" s="439"/>
      <c r="CC13" s="439"/>
      <c r="CD13" s="439"/>
      <c r="CE13" s="439"/>
      <c r="CF13" s="439"/>
      <c r="CG13" s="439"/>
      <c r="CH13" s="439"/>
      <c r="CI13" s="439"/>
      <c r="CJ13" s="439"/>
      <c r="CK13" s="439"/>
      <c r="CL13" s="439"/>
      <c r="CM13" s="439"/>
      <c r="CN13" s="439"/>
      <c r="CO13" s="439"/>
      <c r="CP13" s="439"/>
      <c r="CQ13" s="439"/>
      <c r="CR13" s="439"/>
      <c r="CS13" s="439"/>
      <c r="CT13" s="439"/>
      <c r="CU13" s="439"/>
      <c r="CV13" s="439"/>
      <c r="CW13" s="439"/>
      <c r="CX13" s="439"/>
      <c r="CY13" s="439"/>
      <c r="CZ13" s="439"/>
      <c r="DA13" s="439"/>
      <c r="DB13" s="439"/>
      <c r="DC13" s="439"/>
      <c r="DD13" s="439"/>
      <c r="DE13" s="439"/>
      <c r="DF13" s="439"/>
      <c r="DG13" s="439"/>
      <c r="DH13" s="439"/>
      <c r="DI13" s="439"/>
      <c r="DJ13" s="439"/>
      <c r="DK13" s="439"/>
      <c r="DL13" s="439"/>
      <c r="DM13" s="439"/>
      <c r="DN13" s="439"/>
      <c r="DO13" s="439"/>
      <c r="DP13" s="439"/>
      <c r="DQ13" s="439"/>
      <c r="DR13" s="439"/>
      <c r="DS13" s="439"/>
      <c r="DT13" s="439"/>
      <c r="DU13" s="439"/>
      <c r="DV13" s="439"/>
      <c r="DW13" s="439"/>
      <c r="DX13" s="439"/>
      <c r="DY13" s="439"/>
      <c r="DZ13" s="439"/>
      <c r="EA13" s="439"/>
      <c r="EB13" s="439"/>
      <c r="EC13" s="439"/>
      <c r="ED13" s="439"/>
      <c r="EE13" s="439"/>
      <c r="EF13" s="439"/>
      <c r="EG13" s="439"/>
      <c r="EH13" s="439"/>
      <c r="EI13" s="439"/>
      <c r="EJ13" s="439"/>
      <c r="EK13" s="439"/>
      <c r="EL13" s="439"/>
      <c r="EM13" s="439"/>
      <c r="EN13" s="439"/>
      <c r="EO13" s="439"/>
      <c r="EP13" s="439"/>
      <c r="EQ13" s="439"/>
      <c r="ER13" s="439"/>
      <c r="ES13" s="439"/>
      <c r="ET13" s="439"/>
      <c r="EU13" s="439"/>
      <c r="EV13" s="439"/>
      <c r="EW13" s="439"/>
      <c r="EX13" s="439"/>
      <c r="EY13" s="439"/>
      <c r="EZ13" s="439"/>
      <c r="FA13" s="439"/>
      <c r="FB13" s="439"/>
      <c r="FC13" s="439"/>
      <c r="FD13" s="439"/>
      <c r="FE13" s="439"/>
      <c r="FF13" s="439"/>
      <c r="FG13" s="439"/>
      <c r="FH13" s="439"/>
      <c r="FI13" s="439"/>
      <c r="FJ13" s="439"/>
      <c r="FK13" s="439"/>
      <c r="FL13" s="439"/>
      <c r="FM13" s="439"/>
      <c r="FN13" s="439"/>
      <c r="FO13" s="439"/>
      <c r="FP13" s="439"/>
      <c r="FQ13" s="439"/>
      <c r="FR13" s="439"/>
      <c r="FS13" s="439"/>
      <c r="FT13" s="439"/>
      <c r="FU13" s="439"/>
      <c r="FV13" s="439"/>
      <c r="FW13" s="439"/>
      <c r="FX13" s="439"/>
      <c r="FY13" s="439"/>
      <c r="FZ13" s="439"/>
      <c r="GA13" s="439"/>
      <c r="GB13" s="439"/>
      <c r="GC13" s="439"/>
      <c r="GD13" s="439"/>
      <c r="GE13" s="439"/>
      <c r="GF13" s="439"/>
      <c r="GG13" s="439"/>
      <c r="GH13" s="439"/>
      <c r="GI13" s="439"/>
      <c r="GJ13" s="439"/>
      <c r="GK13" s="439"/>
      <c r="GL13" s="439"/>
      <c r="GM13" s="439"/>
      <c r="GN13" s="439"/>
      <c r="GO13" s="439"/>
      <c r="GP13" s="439"/>
      <c r="GQ13" s="439"/>
      <c r="GR13" s="439"/>
      <c r="GS13" s="439"/>
      <c r="GT13" s="439"/>
      <c r="GU13" s="439"/>
      <c r="GV13" s="439"/>
      <c r="GW13" s="439"/>
      <c r="GX13" s="439"/>
      <c r="GY13" s="439"/>
      <c r="GZ13" s="439"/>
      <c r="HA13" s="439"/>
      <c r="HB13" s="439"/>
      <c r="HC13" s="439"/>
      <c r="HD13" s="439"/>
      <c r="HE13" s="439"/>
      <c r="HF13" s="439"/>
      <c r="HG13" s="439"/>
      <c r="HH13" s="439"/>
      <c r="HI13" s="439"/>
      <c r="HJ13" s="439"/>
      <c r="HK13" s="439"/>
      <c r="HL13" s="439"/>
      <c r="HM13" s="439"/>
      <c r="HN13" s="439"/>
      <c r="HO13" s="439"/>
      <c r="HP13" s="439"/>
      <c r="HQ13" s="439"/>
      <c r="HR13" s="439"/>
      <c r="HS13" s="439"/>
      <c r="HT13" s="439"/>
      <c r="HU13" s="439"/>
      <c r="HV13" s="439"/>
      <c r="HW13" s="439"/>
      <c r="HX13" s="439"/>
      <c r="HY13" s="439"/>
      <c r="HZ13" s="439"/>
      <c r="IA13" s="439"/>
      <c r="IB13" s="439"/>
      <c r="IC13" s="439"/>
      <c r="ID13" s="439"/>
      <c r="IE13" s="439"/>
      <c r="IF13" s="439"/>
      <c r="IG13" s="439"/>
      <c r="IH13" s="439"/>
      <c r="II13" s="439"/>
      <c r="IJ13" s="439"/>
      <c r="IK13" s="439"/>
      <c r="IL13" s="439"/>
      <c r="IM13" s="439"/>
      <c r="IN13" s="439"/>
      <c r="IO13" s="439"/>
      <c r="IP13" s="439"/>
      <c r="IQ13" s="439"/>
      <c r="IR13" s="439"/>
      <c r="IS13" s="439"/>
      <c r="IT13" s="439"/>
      <c r="IU13" s="439"/>
      <c r="IV13" s="439"/>
    </row>
    <row r="14" spans="1:256" ht="20.100000000000001" customHeight="1">
      <c r="A14" s="451" t="s">
        <v>442</v>
      </c>
      <c r="B14" s="452" t="s">
        <v>443</v>
      </c>
      <c r="C14" s="453" t="s">
        <v>459</v>
      </c>
      <c r="D14" s="453">
        <v>0.4</v>
      </c>
      <c r="E14" s="454">
        <f>TRUNC((G6+I6+K6)*D14%)</f>
        <v>69296</v>
      </c>
      <c r="F14" s="455"/>
      <c r="G14" s="455"/>
      <c r="H14" s="455"/>
      <c r="I14" s="455"/>
      <c r="J14" s="455"/>
      <c r="K14" s="456">
        <f t="shared" si="0"/>
        <v>69296</v>
      </c>
      <c r="L14" s="457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439"/>
      <c r="AM14" s="439"/>
      <c r="AN14" s="439"/>
      <c r="AO14" s="439"/>
      <c r="AP14" s="439"/>
      <c r="AQ14" s="439"/>
      <c r="AR14" s="439"/>
      <c r="AS14" s="439"/>
      <c r="AT14" s="439"/>
      <c r="AU14" s="439"/>
      <c r="AV14" s="439"/>
      <c r="AW14" s="439"/>
      <c r="AX14" s="439"/>
      <c r="AY14" s="439"/>
      <c r="AZ14" s="439"/>
      <c r="BA14" s="439"/>
      <c r="BB14" s="439"/>
      <c r="BC14" s="439"/>
      <c r="BD14" s="439"/>
      <c r="BE14" s="439"/>
      <c r="BF14" s="439"/>
      <c r="BG14" s="439"/>
      <c r="BH14" s="439"/>
      <c r="BI14" s="439"/>
      <c r="BJ14" s="439"/>
      <c r="BK14" s="439"/>
      <c r="BL14" s="439"/>
      <c r="BM14" s="439"/>
      <c r="BN14" s="439"/>
      <c r="BO14" s="439"/>
      <c r="BP14" s="439"/>
      <c r="BQ14" s="439"/>
      <c r="BR14" s="439"/>
      <c r="BS14" s="439"/>
      <c r="BT14" s="439"/>
      <c r="BU14" s="439"/>
      <c r="BV14" s="439"/>
      <c r="BW14" s="439"/>
      <c r="BX14" s="439"/>
      <c r="BY14" s="439"/>
      <c r="BZ14" s="439"/>
      <c r="CA14" s="439"/>
      <c r="CB14" s="439"/>
      <c r="CC14" s="439"/>
      <c r="CD14" s="439"/>
      <c r="CE14" s="439"/>
      <c r="CF14" s="439"/>
      <c r="CG14" s="439"/>
      <c r="CH14" s="439"/>
      <c r="CI14" s="439"/>
      <c r="CJ14" s="439"/>
      <c r="CK14" s="439"/>
      <c r="CL14" s="439"/>
      <c r="CM14" s="439"/>
      <c r="CN14" s="439"/>
      <c r="CO14" s="439"/>
      <c r="CP14" s="439"/>
      <c r="CQ14" s="439"/>
      <c r="CR14" s="439"/>
      <c r="CS14" s="439"/>
      <c r="CT14" s="439"/>
      <c r="CU14" s="439"/>
      <c r="CV14" s="439"/>
      <c r="CW14" s="439"/>
      <c r="CX14" s="439"/>
      <c r="CY14" s="439"/>
      <c r="CZ14" s="439"/>
      <c r="DA14" s="439"/>
      <c r="DB14" s="439"/>
      <c r="DC14" s="439"/>
      <c r="DD14" s="439"/>
      <c r="DE14" s="439"/>
      <c r="DF14" s="439"/>
      <c r="DG14" s="439"/>
      <c r="DH14" s="439"/>
      <c r="DI14" s="439"/>
      <c r="DJ14" s="439"/>
      <c r="DK14" s="439"/>
      <c r="DL14" s="439"/>
      <c r="DM14" s="439"/>
      <c r="DN14" s="439"/>
      <c r="DO14" s="439"/>
      <c r="DP14" s="439"/>
      <c r="DQ14" s="439"/>
      <c r="DR14" s="439"/>
      <c r="DS14" s="439"/>
      <c r="DT14" s="439"/>
      <c r="DU14" s="439"/>
      <c r="DV14" s="439"/>
      <c r="DW14" s="439"/>
      <c r="DX14" s="439"/>
      <c r="DY14" s="439"/>
      <c r="DZ14" s="439"/>
      <c r="EA14" s="439"/>
      <c r="EB14" s="439"/>
      <c r="EC14" s="439"/>
      <c r="ED14" s="439"/>
      <c r="EE14" s="439"/>
      <c r="EF14" s="439"/>
      <c r="EG14" s="439"/>
      <c r="EH14" s="439"/>
      <c r="EI14" s="439"/>
      <c r="EJ14" s="439"/>
      <c r="EK14" s="439"/>
      <c r="EL14" s="439"/>
      <c r="EM14" s="439"/>
      <c r="EN14" s="439"/>
      <c r="EO14" s="439"/>
      <c r="EP14" s="439"/>
      <c r="EQ14" s="439"/>
      <c r="ER14" s="439"/>
      <c r="ES14" s="439"/>
      <c r="ET14" s="439"/>
      <c r="EU14" s="439"/>
      <c r="EV14" s="439"/>
      <c r="EW14" s="439"/>
      <c r="EX14" s="439"/>
      <c r="EY14" s="439"/>
      <c r="EZ14" s="439"/>
      <c r="FA14" s="439"/>
      <c r="FB14" s="439"/>
      <c r="FC14" s="439"/>
      <c r="FD14" s="439"/>
      <c r="FE14" s="439"/>
      <c r="FF14" s="439"/>
      <c r="FG14" s="439"/>
      <c r="FH14" s="439"/>
      <c r="FI14" s="439"/>
      <c r="FJ14" s="439"/>
      <c r="FK14" s="439"/>
      <c r="FL14" s="439"/>
      <c r="FM14" s="439"/>
      <c r="FN14" s="439"/>
      <c r="FO14" s="439"/>
      <c r="FP14" s="439"/>
      <c r="FQ14" s="439"/>
      <c r="FR14" s="439"/>
      <c r="FS14" s="439"/>
      <c r="FT14" s="439"/>
      <c r="FU14" s="439"/>
      <c r="FV14" s="439"/>
      <c r="FW14" s="439"/>
      <c r="FX14" s="439"/>
      <c r="FY14" s="439"/>
      <c r="FZ14" s="439"/>
      <c r="GA14" s="439"/>
      <c r="GB14" s="439"/>
      <c r="GC14" s="439"/>
      <c r="GD14" s="439"/>
      <c r="GE14" s="439"/>
      <c r="GF14" s="439"/>
      <c r="GG14" s="439"/>
      <c r="GH14" s="439"/>
      <c r="GI14" s="439"/>
      <c r="GJ14" s="439"/>
      <c r="GK14" s="439"/>
      <c r="GL14" s="439"/>
      <c r="GM14" s="439"/>
      <c r="GN14" s="439"/>
      <c r="GO14" s="439"/>
      <c r="GP14" s="439"/>
      <c r="GQ14" s="439"/>
      <c r="GR14" s="439"/>
      <c r="GS14" s="439"/>
      <c r="GT14" s="439"/>
      <c r="GU14" s="439"/>
      <c r="GV14" s="439"/>
      <c r="GW14" s="439"/>
      <c r="GX14" s="439"/>
      <c r="GY14" s="439"/>
      <c r="GZ14" s="439"/>
      <c r="HA14" s="439"/>
      <c r="HB14" s="439"/>
      <c r="HC14" s="439"/>
      <c r="HD14" s="439"/>
      <c r="HE14" s="439"/>
      <c r="HF14" s="439"/>
      <c r="HG14" s="439"/>
      <c r="HH14" s="439"/>
      <c r="HI14" s="439"/>
      <c r="HJ14" s="439"/>
      <c r="HK14" s="439"/>
      <c r="HL14" s="439"/>
      <c r="HM14" s="439"/>
      <c r="HN14" s="439"/>
      <c r="HO14" s="439"/>
      <c r="HP14" s="439"/>
      <c r="HQ14" s="439"/>
      <c r="HR14" s="439"/>
      <c r="HS14" s="439"/>
      <c r="HT14" s="439"/>
      <c r="HU14" s="439"/>
      <c r="HV14" s="439"/>
      <c r="HW14" s="439"/>
      <c r="HX14" s="439"/>
      <c r="HY14" s="439"/>
      <c r="HZ14" s="439"/>
      <c r="IA14" s="439"/>
      <c r="IB14" s="439"/>
      <c r="IC14" s="439"/>
      <c r="ID14" s="439"/>
      <c r="IE14" s="439"/>
      <c r="IF14" s="439"/>
      <c r="IG14" s="439"/>
      <c r="IH14" s="439"/>
      <c r="II14" s="439"/>
      <c r="IJ14" s="439"/>
      <c r="IK14" s="439"/>
      <c r="IL14" s="439"/>
      <c r="IM14" s="439"/>
      <c r="IN14" s="439"/>
      <c r="IO14" s="439"/>
      <c r="IP14" s="439"/>
      <c r="IQ14" s="439"/>
      <c r="IR14" s="439"/>
      <c r="IS14" s="439"/>
      <c r="IT14" s="439"/>
      <c r="IU14" s="439"/>
      <c r="IV14" s="439"/>
    </row>
    <row r="15" spans="1:256" ht="20.100000000000001" customHeight="1">
      <c r="A15" s="451" t="s">
        <v>444</v>
      </c>
      <c r="B15" s="452" t="s">
        <v>445</v>
      </c>
      <c r="C15" s="453" t="s">
        <v>459</v>
      </c>
      <c r="D15" s="453">
        <v>8.1000000000000003E-2</v>
      </c>
      <c r="E15" s="454">
        <f>TRUNC((G6+I6+E7)*D15%)</f>
        <v>15817</v>
      </c>
      <c r="F15" s="455"/>
      <c r="G15" s="455"/>
      <c r="H15" s="455"/>
      <c r="I15" s="455"/>
      <c r="J15" s="455"/>
      <c r="K15" s="456">
        <f t="shared" si="0"/>
        <v>15817</v>
      </c>
      <c r="L15" s="457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439"/>
      <c r="AG15" s="439"/>
      <c r="AH15" s="439"/>
      <c r="AI15" s="439"/>
      <c r="AJ15" s="439"/>
      <c r="AK15" s="439"/>
      <c r="AL15" s="439"/>
      <c r="AM15" s="439"/>
      <c r="AN15" s="439"/>
      <c r="AO15" s="439"/>
      <c r="AP15" s="439"/>
      <c r="AQ15" s="439"/>
      <c r="AR15" s="439"/>
      <c r="AS15" s="439"/>
      <c r="AT15" s="439"/>
      <c r="AU15" s="439"/>
      <c r="AV15" s="439"/>
      <c r="AW15" s="439"/>
      <c r="AX15" s="439"/>
      <c r="AY15" s="439"/>
      <c r="AZ15" s="439"/>
      <c r="BA15" s="439"/>
      <c r="BB15" s="439"/>
      <c r="BC15" s="439"/>
      <c r="BD15" s="439"/>
      <c r="BE15" s="439"/>
      <c r="BF15" s="439"/>
      <c r="BG15" s="439"/>
      <c r="BH15" s="439"/>
      <c r="BI15" s="439"/>
      <c r="BJ15" s="439"/>
      <c r="BK15" s="439"/>
      <c r="BL15" s="439"/>
      <c r="BM15" s="439"/>
      <c r="BN15" s="439"/>
      <c r="BO15" s="439"/>
      <c r="BP15" s="439"/>
      <c r="BQ15" s="439"/>
      <c r="BR15" s="439"/>
      <c r="BS15" s="439"/>
      <c r="BT15" s="439"/>
      <c r="BU15" s="439"/>
      <c r="BV15" s="439"/>
      <c r="BW15" s="439"/>
      <c r="BX15" s="439"/>
      <c r="BY15" s="439"/>
      <c r="BZ15" s="439"/>
      <c r="CA15" s="439"/>
      <c r="CB15" s="439"/>
      <c r="CC15" s="439"/>
      <c r="CD15" s="439"/>
      <c r="CE15" s="439"/>
      <c r="CF15" s="439"/>
      <c r="CG15" s="439"/>
      <c r="CH15" s="439"/>
      <c r="CI15" s="439"/>
      <c r="CJ15" s="439"/>
      <c r="CK15" s="439"/>
      <c r="CL15" s="439"/>
      <c r="CM15" s="439"/>
      <c r="CN15" s="439"/>
      <c r="CO15" s="439"/>
      <c r="CP15" s="439"/>
      <c r="CQ15" s="439"/>
      <c r="CR15" s="439"/>
      <c r="CS15" s="439"/>
      <c r="CT15" s="439"/>
      <c r="CU15" s="439"/>
      <c r="CV15" s="439"/>
      <c r="CW15" s="439"/>
      <c r="CX15" s="439"/>
      <c r="CY15" s="439"/>
      <c r="CZ15" s="439"/>
      <c r="DA15" s="439"/>
      <c r="DB15" s="439"/>
      <c r="DC15" s="439"/>
      <c r="DD15" s="439"/>
      <c r="DE15" s="439"/>
      <c r="DF15" s="439"/>
      <c r="DG15" s="439"/>
      <c r="DH15" s="439"/>
      <c r="DI15" s="439"/>
      <c r="DJ15" s="439"/>
      <c r="DK15" s="439"/>
      <c r="DL15" s="439"/>
      <c r="DM15" s="439"/>
      <c r="DN15" s="439"/>
      <c r="DO15" s="439"/>
      <c r="DP15" s="439"/>
      <c r="DQ15" s="439"/>
      <c r="DR15" s="439"/>
      <c r="DS15" s="439"/>
      <c r="DT15" s="439"/>
      <c r="DU15" s="439"/>
      <c r="DV15" s="439"/>
      <c r="DW15" s="439"/>
      <c r="DX15" s="439"/>
      <c r="DY15" s="439"/>
      <c r="DZ15" s="439"/>
      <c r="EA15" s="439"/>
      <c r="EB15" s="439"/>
      <c r="EC15" s="439"/>
      <c r="ED15" s="439"/>
      <c r="EE15" s="439"/>
      <c r="EF15" s="439"/>
      <c r="EG15" s="439"/>
      <c r="EH15" s="439"/>
      <c r="EI15" s="439"/>
      <c r="EJ15" s="439"/>
      <c r="EK15" s="439"/>
      <c r="EL15" s="439"/>
      <c r="EM15" s="439"/>
      <c r="EN15" s="439"/>
      <c r="EO15" s="439"/>
      <c r="EP15" s="439"/>
      <c r="EQ15" s="439"/>
      <c r="ER15" s="439"/>
      <c r="ES15" s="439"/>
      <c r="ET15" s="439"/>
      <c r="EU15" s="439"/>
      <c r="EV15" s="439"/>
      <c r="EW15" s="439"/>
      <c r="EX15" s="439"/>
      <c r="EY15" s="439"/>
      <c r="EZ15" s="439"/>
      <c r="FA15" s="439"/>
      <c r="FB15" s="439"/>
      <c r="FC15" s="439"/>
      <c r="FD15" s="439"/>
      <c r="FE15" s="439"/>
      <c r="FF15" s="439"/>
      <c r="FG15" s="439"/>
      <c r="FH15" s="439"/>
      <c r="FI15" s="439"/>
      <c r="FJ15" s="439"/>
      <c r="FK15" s="439"/>
      <c r="FL15" s="439"/>
      <c r="FM15" s="439"/>
      <c r="FN15" s="439"/>
      <c r="FO15" s="439"/>
      <c r="FP15" s="439"/>
      <c r="FQ15" s="439"/>
      <c r="FR15" s="439"/>
      <c r="FS15" s="439"/>
      <c r="FT15" s="439"/>
      <c r="FU15" s="439"/>
      <c r="FV15" s="439"/>
      <c r="FW15" s="439"/>
      <c r="FX15" s="439"/>
      <c r="FY15" s="439"/>
      <c r="FZ15" s="439"/>
      <c r="GA15" s="439"/>
      <c r="GB15" s="439"/>
      <c r="GC15" s="439"/>
      <c r="GD15" s="439"/>
      <c r="GE15" s="439"/>
      <c r="GF15" s="439"/>
      <c r="GG15" s="439"/>
      <c r="GH15" s="439"/>
      <c r="GI15" s="439"/>
      <c r="GJ15" s="439"/>
      <c r="GK15" s="439"/>
      <c r="GL15" s="439"/>
      <c r="GM15" s="439"/>
      <c r="GN15" s="439"/>
      <c r="GO15" s="439"/>
      <c r="GP15" s="439"/>
      <c r="GQ15" s="439"/>
      <c r="GR15" s="439"/>
      <c r="GS15" s="439"/>
      <c r="GT15" s="439"/>
      <c r="GU15" s="439"/>
      <c r="GV15" s="439"/>
      <c r="GW15" s="439"/>
      <c r="GX15" s="439"/>
      <c r="GY15" s="439"/>
      <c r="GZ15" s="439"/>
      <c r="HA15" s="439"/>
      <c r="HB15" s="439"/>
      <c r="HC15" s="439"/>
      <c r="HD15" s="439"/>
      <c r="HE15" s="439"/>
      <c r="HF15" s="439"/>
      <c r="HG15" s="439"/>
      <c r="HH15" s="439"/>
      <c r="HI15" s="439"/>
      <c r="HJ15" s="439"/>
      <c r="HK15" s="439"/>
      <c r="HL15" s="439"/>
      <c r="HM15" s="439"/>
      <c r="HN15" s="439"/>
      <c r="HO15" s="439"/>
      <c r="HP15" s="439"/>
      <c r="HQ15" s="439"/>
      <c r="HR15" s="439"/>
      <c r="HS15" s="439"/>
      <c r="HT15" s="439"/>
      <c r="HU15" s="439"/>
      <c r="HV15" s="439"/>
      <c r="HW15" s="439"/>
      <c r="HX15" s="439"/>
      <c r="HY15" s="439"/>
      <c r="HZ15" s="439"/>
      <c r="IA15" s="439"/>
      <c r="IB15" s="439"/>
      <c r="IC15" s="439"/>
      <c r="ID15" s="439"/>
      <c r="IE15" s="439"/>
      <c r="IF15" s="439"/>
      <c r="IG15" s="439"/>
      <c r="IH15" s="439"/>
      <c r="II15" s="439"/>
      <c r="IJ15" s="439"/>
      <c r="IK15" s="439"/>
      <c r="IL15" s="439"/>
      <c r="IM15" s="439"/>
      <c r="IN15" s="439"/>
      <c r="IO15" s="439"/>
      <c r="IP15" s="439"/>
      <c r="IQ15" s="439"/>
      <c r="IR15" s="439"/>
      <c r="IS15" s="439"/>
      <c r="IT15" s="439"/>
      <c r="IU15" s="439"/>
      <c r="IV15" s="439"/>
    </row>
    <row r="16" spans="1:256" ht="20.100000000000001" customHeight="1">
      <c r="A16" s="458" t="s">
        <v>484</v>
      </c>
      <c r="B16" s="452" t="s">
        <v>446</v>
      </c>
      <c r="C16" s="453" t="s">
        <v>459</v>
      </c>
      <c r="D16" s="453">
        <v>2.93</v>
      </c>
      <c r="E16" s="454">
        <f>TRUNC((G6+I6)*D16%)*1.2</f>
        <v>604912.79999999993</v>
      </c>
      <c r="F16" s="455"/>
      <c r="G16" s="455"/>
      <c r="H16" s="455"/>
      <c r="I16" s="455"/>
      <c r="J16" s="455"/>
      <c r="K16" s="456">
        <f t="shared" si="0"/>
        <v>604912.79999999993</v>
      </c>
      <c r="L16" s="457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39"/>
      <c r="AE16" s="439"/>
      <c r="AF16" s="439"/>
      <c r="AG16" s="439"/>
      <c r="AH16" s="439"/>
      <c r="AI16" s="439"/>
      <c r="AJ16" s="439"/>
      <c r="AK16" s="439"/>
      <c r="AL16" s="439"/>
      <c r="AM16" s="439"/>
      <c r="AN16" s="439"/>
      <c r="AO16" s="439"/>
      <c r="AP16" s="439"/>
      <c r="AQ16" s="439"/>
      <c r="AR16" s="439"/>
      <c r="AS16" s="439"/>
      <c r="AT16" s="439"/>
      <c r="AU16" s="439"/>
      <c r="AV16" s="439"/>
      <c r="AW16" s="439"/>
      <c r="AX16" s="439"/>
      <c r="AY16" s="439"/>
      <c r="AZ16" s="439"/>
      <c r="BA16" s="439"/>
      <c r="BB16" s="439"/>
      <c r="BC16" s="439"/>
      <c r="BD16" s="439"/>
      <c r="BE16" s="439"/>
      <c r="BF16" s="439"/>
      <c r="BG16" s="439"/>
      <c r="BH16" s="439"/>
      <c r="BI16" s="439"/>
      <c r="BJ16" s="439"/>
      <c r="BK16" s="439"/>
      <c r="BL16" s="439"/>
      <c r="BM16" s="439"/>
      <c r="BN16" s="439"/>
      <c r="BO16" s="439"/>
      <c r="BP16" s="439"/>
      <c r="BQ16" s="439"/>
      <c r="BR16" s="439"/>
      <c r="BS16" s="439"/>
      <c r="BT16" s="439"/>
      <c r="BU16" s="439"/>
      <c r="BV16" s="439"/>
      <c r="BW16" s="439"/>
      <c r="BX16" s="439"/>
      <c r="BY16" s="439"/>
      <c r="BZ16" s="439"/>
      <c r="CA16" s="439"/>
      <c r="CB16" s="439"/>
      <c r="CC16" s="439"/>
      <c r="CD16" s="439"/>
      <c r="CE16" s="439"/>
      <c r="CF16" s="439"/>
      <c r="CG16" s="439"/>
      <c r="CH16" s="439"/>
      <c r="CI16" s="439"/>
      <c r="CJ16" s="439"/>
      <c r="CK16" s="439"/>
      <c r="CL16" s="439"/>
      <c r="CM16" s="439"/>
      <c r="CN16" s="439"/>
      <c r="CO16" s="439"/>
      <c r="CP16" s="439"/>
      <c r="CQ16" s="439"/>
      <c r="CR16" s="439"/>
      <c r="CS16" s="439"/>
      <c r="CT16" s="439"/>
      <c r="CU16" s="439"/>
      <c r="CV16" s="439"/>
      <c r="CW16" s="439"/>
      <c r="CX16" s="439"/>
      <c r="CY16" s="439"/>
      <c r="CZ16" s="439"/>
      <c r="DA16" s="439"/>
      <c r="DB16" s="439"/>
      <c r="DC16" s="439"/>
      <c r="DD16" s="439"/>
      <c r="DE16" s="439"/>
      <c r="DF16" s="439"/>
      <c r="DG16" s="439"/>
      <c r="DH16" s="439"/>
      <c r="DI16" s="439"/>
      <c r="DJ16" s="439"/>
      <c r="DK16" s="439"/>
      <c r="DL16" s="439"/>
      <c r="DM16" s="439"/>
      <c r="DN16" s="439"/>
      <c r="DO16" s="439"/>
      <c r="DP16" s="439"/>
      <c r="DQ16" s="439"/>
      <c r="DR16" s="439"/>
      <c r="DS16" s="439"/>
      <c r="DT16" s="439"/>
      <c r="DU16" s="439"/>
      <c r="DV16" s="439"/>
      <c r="DW16" s="439"/>
      <c r="DX16" s="439"/>
      <c r="DY16" s="439"/>
      <c r="DZ16" s="439"/>
      <c r="EA16" s="439"/>
      <c r="EB16" s="439"/>
      <c r="EC16" s="439"/>
      <c r="ED16" s="439"/>
      <c r="EE16" s="439"/>
      <c r="EF16" s="439"/>
      <c r="EG16" s="439"/>
      <c r="EH16" s="439"/>
      <c r="EI16" s="439"/>
      <c r="EJ16" s="439"/>
      <c r="EK16" s="439"/>
      <c r="EL16" s="439"/>
      <c r="EM16" s="439"/>
      <c r="EN16" s="439"/>
      <c r="EO16" s="439"/>
      <c r="EP16" s="439"/>
      <c r="EQ16" s="439"/>
      <c r="ER16" s="439"/>
      <c r="ES16" s="439"/>
      <c r="ET16" s="439"/>
      <c r="EU16" s="439"/>
      <c r="EV16" s="439"/>
      <c r="EW16" s="439"/>
      <c r="EX16" s="439"/>
      <c r="EY16" s="439"/>
      <c r="EZ16" s="439"/>
      <c r="FA16" s="439"/>
      <c r="FB16" s="439"/>
      <c r="FC16" s="439"/>
      <c r="FD16" s="439"/>
      <c r="FE16" s="439"/>
      <c r="FF16" s="439"/>
      <c r="FG16" s="439"/>
      <c r="FH16" s="439"/>
      <c r="FI16" s="439"/>
      <c r="FJ16" s="439"/>
      <c r="FK16" s="439"/>
      <c r="FL16" s="439"/>
      <c r="FM16" s="439"/>
      <c r="FN16" s="439"/>
      <c r="FO16" s="439"/>
      <c r="FP16" s="439"/>
      <c r="FQ16" s="439"/>
      <c r="FR16" s="439"/>
      <c r="FS16" s="439"/>
      <c r="FT16" s="439"/>
      <c r="FU16" s="439"/>
      <c r="FV16" s="439"/>
      <c r="FW16" s="439"/>
      <c r="FX16" s="439"/>
      <c r="FY16" s="439"/>
      <c r="FZ16" s="439"/>
      <c r="GA16" s="439"/>
      <c r="GB16" s="439"/>
      <c r="GC16" s="439"/>
      <c r="GD16" s="439"/>
      <c r="GE16" s="439"/>
      <c r="GF16" s="439"/>
      <c r="GG16" s="439"/>
      <c r="GH16" s="439"/>
      <c r="GI16" s="439"/>
      <c r="GJ16" s="439"/>
      <c r="GK16" s="439"/>
      <c r="GL16" s="439"/>
      <c r="GM16" s="439"/>
      <c r="GN16" s="439"/>
      <c r="GO16" s="439"/>
      <c r="GP16" s="439"/>
      <c r="GQ16" s="439"/>
      <c r="GR16" s="439"/>
      <c r="GS16" s="439"/>
      <c r="GT16" s="439"/>
      <c r="GU16" s="439"/>
      <c r="GV16" s="439"/>
      <c r="GW16" s="439"/>
      <c r="GX16" s="439"/>
      <c r="GY16" s="439"/>
      <c r="GZ16" s="439"/>
      <c r="HA16" s="439"/>
      <c r="HB16" s="439"/>
      <c r="HC16" s="439"/>
      <c r="HD16" s="439"/>
      <c r="HE16" s="439"/>
      <c r="HF16" s="439"/>
      <c r="HG16" s="439"/>
      <c r="HH16" s="439"/>
      <c r="HI16" s="439"/>
      <c r="HJ16" s="439"/>
      <c r="HK16" s="439"/>
      <c r="HL16" s="439"/>
      <c r="HM16" s="439"/>
      <c r="HN16" s="439"/>
      <c r="HO16" s="439"/>
      <c r="HP16" s="439"/>
      <c r="HQ16" s="439"/>
      <c r="HR16" s="439"/>
      <c r="HS16" s="439"/>
      <c r="HT16" s="439"/>
      <c r="HU16" s="439"/>
      <c r="HV16" s="439"/>
      <c r="HW16" s="439"/>
      <c r="HX16" s="439"/>
      <c r="HY16" s="439"/>
      <c r="HZ16" s="439"/>
      <c r="IA16" s="439"/>
      <c r="IB16" s="439"/>
      <c r="IC16" s="439"/>
      <c r="ID16" s="439"/>
      <c r="IE16" s="439"/>
      <c r="IF16" s="439"/>
      <c r="IG16" s="439"/>
      <c r="IH16" s="439"/>
      <c r="II16" s="439"/>
      <c r="IJ16" s="439"/>
      <c r="IK16" s="439"/>
      <c r="IL16" s="439"/>
      <c r="IM16" s="439"/>
      <c r="IN16" s="439"/>
      <c r="IO16" s="439"/>
      <c r="IP16" s="439"/>
      <c r="IQ16" s="439"/>
      <c r="IR16" s="439"/>
      <c r="IS16" s="439"/>
      <c r="IT16" s="439"/>
      <c r="IU16" s="439"/>
      <c r="IV16" s="439"/>
    </row>
    <row r="17" spans="1:256" ht="20.100000000000001" customHeight="1">
      <c r="A17" s="451" t="s">
        <v>483</v>
      </c>
      <c r="B17" s="452" t="s">
        <v>447</v>
      </c>
      <c r="C17" s="453" t="s">
        <v>459</v>
      </c>
      <c r="D17" s="453">
        <v>2.93</v>
      </c>
      <c r="E17" s="454">
        <f>TRUNC((G6+I6+K6)*D17%)</f>
        <v>507595</v>
      </c>
      <c r="F17" s="455"/>
      <c r="G17" s="455"/>
      <c r="H17" s="455"/>
      <c r="I17" s="455"/>
      <c r="J17" s="455"/>
      <c r="K17" s="456">
        <f t="shared" si="0"/>
        <v>507595</v>
      </c>
      <c r="L17" s="457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O17" s="439"/>
      <c r="AP17" s="439"/>
      <c r="AQ17" s="439"/>
      <c r="AR17" s="439"/>
      <c r="AS17" s="439"/>
      <c r="AT17" s="439"/>
      <c r="AU17" s="439"/>
      <c r="AV17" s="439"/>
      <c r="AW17" s="439"/>
      <c r="AX17" s="439"/>
      <c r="AY17" s="439"/>
      <c r="AZ17" s="439"/>
      <c r="BA17" s="439"/>
      <c r="BB17" s="439"/>
      <c r="BC17" s="439"/>
      <c r="BD17" s="439"/>
      <c r="BE17" s="439"/>
      <c r="BF17" s="439"/>
      <c r="BG17" s="439"/>
      <c r="BH17" s="439"/>
      <c r="BI17" s="439"/>
      <c r="BJ17" s="439"/>
      <c r="BK17" s="439"/>
      <c r="BL17" s="439"/>
      <c r="BM17" s="439"/>
      <c r="BN17" s="439"/>
      <c r="BO17" s="439"/>
      <c r="BP17" s="439"/>
      <c r="BQ17" s="439"/>
      <c r="BR17" s="439"/>
      <c r="BS17" s="439"/>
      <c r="BT17" s="439"/>
      <c r="BU17" s="439"/>
      <c r="BV17" s="439"/>
      <c r="BW17" s="439"/>
      <c r="BX17" s="439"/>
      <c r="BY17" s="439"/>
      <c r="BZ17" s="439"/>
      <c r="CA17" s="439"/>
      <c r="CB17" s="439"/>
      <c r="CC17" s="439"/>
      <c r="CD17" s="439"/>
      <c r="CE17" s="439"/>
      <c r="CF17" s="439"/>
      <c r="CG17" s="439"/>
      <c r="CH17" s="439"/>
      <c r="CI17" s="439"/>
      <c r="CJ17" s="439"/>
      <c r="CK17" s="439"/>
      <c r="CL17" s="439"/>
      <c r="CM17" s="439"/>
      <c r="CN17" s="439"/>
      <c r="CO17" s="439"/>
      <c r="CP17" s="439"/>
      <c r="CQ17" s="439"/>
      <c r="CR17" s="439"/>
      <c r="CS17" s="439"/>
      <c r="CT17" s="439"/>
      <c r="CU17" s="439"/>
      <c r="CV17" s="439"/>
      <c r="CW17" s="439"/>
      <c r="CX17" s="439"/>
      <c r="CY17" s="439"/>
      <c r="CZ17" s="439"/>
      <c r="DA17" s="439"/>
      <c r="DB17" s="439"/>
      <c r="DC17" s="439"/>
      <c r="DD17" s="439"/>
      <c r="DE17" s="439"/>
      <c r="DF17" s="439"/>
      <c r="DG17" s="439"/>
      <c r="DH17" s="439"/>
      <c r="DI17" s="439"/>
      <c r="DJ17" s="439"/>
      <c r="DK17" s="439"/>
      <c r="DL17" s="439"/>
      <c r="DM17" s="439"/>
      <c r="DN17" s="439"/>
      <c r="DO17" s="439"/>
      <c r="DP17" s="439"/>
      <c r="DQ17" s="439"/>
      <c r="DR17" s="439"/>
      <c r="DS17" s="439"/>
      <c r="DT17" s="439"/>
      <c r="DU17" s="439"/>
      <c r="DV17" s="439"/>
      <c r="DW17" s="439"/>
      <c r="DX17" s="439"/>
      <c r="DY17" s="439"/>
      <c r="DZ17" s="439"/>
      <c r="EA17" s="439"/>
      <c r="EB17" s="439"/>
      <c r="EC17" s="439"/>
      <c r="ED17" s="439"/>
      <c r="EE17" s="439"/>
      <c r="EF17" s="439"/>
      <c r="EG17" s="439"/>
      <c r="EH17" s="439"/>
      <c r="EI17" s="439"/>
      <c r="EJ17" s="439"/>
      <c r="EK17" s="439"/>
      <c r="EL17" s="439"/>
      <c r="EM17" s="439"/>
      <c r="EN17" s="439"/>
      <c r="EO17" s="439"/>
      <c r="EP17" s="439"/>
      <c r="EQ17" s="439"/>
      <c r="ER17" s="439"/>
      <c r="ES17" s="439"/>
      <c r="ET17" s="439"/>
      <c r="EU17" s="439"/>
      <c r="EV17" s="439"/>
      <c r="EW17" s="439"/>
      <c r="EX17" s="439"/>
      <c r="EY17" s="439"/>
      <c r="EZ17" s="439"/>
      <c r="FA17" s="439"/>
      <c r="FB17" s="439"/>
      <c r="FC17" s="439"/>
      <c r="FD17" s="439"/>
      <c r="FE17" s="439"/>
      <c r="FF17" s="439"/>
      <c r="FG17" s="439"/>
      <c r="FH17" s="439"/>
      <c r="FI17" s="439"/>
      <c r="FJ17" s="439"/>
      <c r="FK17" s="439"/>
      <c r="FL17" s="439"/>
      <c r="FM17" s="439"/>
      <c r="FN17" s="439"/>
      <c r="FO17" s="439"/>
      <c r="FP17" s="439"/>
      <c r="FQ17" s="439"/>
      <c r="FR17" s="439"/>
      <c r="FS17" s="439"/>
      <c r="FT17" s="439"/>
      <c r="FU17" s="439"/>
      <c r="FV17" s="439"/>
      <c r="FW17" s="439"/>
      <c r="FX17" s="439"/>
      <c r="FY17" s="439"/>
      <c r="FZ17" s="439"/>
      <c r="GA17" s="439"/>
      <c r="GB17" s="439"/>
      <c r="GC17" s="439"/>
      <c r="GD17" s="439"/>
      <c r="GE17" s="439"/>
      <c r="GF17" s="439"/>
      <c r="GG17" s="439"/>
      <c r="GH17" s="439"/>
      <c r="GI17" s="439"/>
      <c r="GJ17" s="439"/>
      <c r="GK17" s="439"/>
      <c r="GL17" s="439"/>
      <c r="GM17" s="439"/>
      <c r="GN17" s="439"/>
      <c r="GO17" s="439"/>
      <c r="GP17" s="439"/>
      <c r="GQ17" s="439"/>
      <c r="GR17" s="439"/>
      <c r="GS17" s="439"/>
      <c r="GT17" s="439"/>
      <c r="GU17" s="439"/>
      <c r="GV17" s="439"/>
      <c r="GW17" s="439"/>
      <c r="GX17" s="439"/>
      <c r="GY17" s="439"/>
      <c r="GZ17" s="439"/>
      <c r="HA17" s="439"/>
      <c r="HB17" s="439"/>
      <c r="HC17" s="439"/>
      <c r="HD17" s="439"/>
      <c r="HE17" s="439"/>
      <c r="HF17" s="439"/>
      <c r="HG17" s="439"/>
      <c r="HH17" s="439"/>
      <c r="HI17" s="439"/>
      <c r="HJ17" s="439"/>
      <c r="HK17" s="439"/>
      <c r="HL17" s="439"/>
      <c r="HM17" s="439"/>
      <c r="HN17" s="439"/>
      <c r="HO17" s="439"/>
      <c r="HP17" s="439"/>
      <c r="HQ17" s="439"/>
      <c r="HR17" s="439"/>
      <c r="HS17" s="439"/>
      <c r="HT17" s="439"/>
      <c r="HU17" s="439"/>
      <c r="HV17" s="439"/>
      <c r="HW17" s="439"/>
      <c r="HX17" s="439"/>
      <c r="HY17" s="439"/>
      <c r="HZ17" s="439"/>
      <c r="IA17" s="439"/>
      <c r="IB17" s="439"/>
      <c r="IC17" s="439"/>
      <c r="ID17" s="439"/>
      <c r="IE17" s="439"/>
      <c r="IF17" s="439"/>
      <c r="IG17" s="439"/>
      <c r="IH17" s="439"/>
      <c r="II17" s="439"/>
      <c r="IJ17" s="439"/>
      <c r="IK17" s="439"/>
      <c r="IL17" s="439"/>
      <c r="IM17" s="439"/>
      <c r="IN17" s="439"/>
      <c r="IO17" s="439"/>
      <c r="IP17" s="439"/>
      <c r="IQ17" s="439"/>
      <c r="IR17" s="439"/>
      <c r="IS17" s="439"/>
      <c r="IT17" s="439"/>
      <c r="IU17" s="439"/>
      <c r="IV17" s="439"/>
    </row>
    <row r="18" spans="1:256" ht="20.100000000000001" customHeight="1">
      <c r="A18" s="451" t="s">
        <v>448</v>
      </c>
      <c r="B18" s="452" t="s">
        <v>449</v>
      </c>
      <c r="C18" s="453" t="s">
        <v>459</v>
      </c>
      <c r="D18" s="453">
        <v>0.9</v>
      </c>
      <c r="E18" s="454">
        <f>TRUNC(E6*D18%,)</f>
        <v>155916</v>
      </c>
      <c r="F18" s="455"/>
      <c r="G18" s="455"/>
      <c r="H18" s="455"/>
      <c r="I18" s="455"/>
      <c r="J18" s="455"/>
      <c r="K18" s="456">
        <f t="shared" si="0"/>
        <v>155916</v>
      </c>
      <c r="L18" s="457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39"/>
      <c r="AS18" s="439"/>
      <c r="AT18" s="439"/>
      <c r="AU18" s="439"/>
      <c r="AV18" s="439"/>
      <c r="AW18" s="439"/>
      <c r="AX18" s="439"/>
      <c r="AY18" s="439"/>
      <c r="AZ18" s="439"/>
      <c r="BA18" s="439"/>
      <c r="BB18" s="439"/>
      <c r="BC18" s="439"/>
      <c r="BD18" s="439"/>
      <c r="BE18" s="439"/>
      <c r="BF18" s="439"/>
      <c r="BG18" s="439"/>
      <c r="BH18" s="439"/>
      <c r="BI18" s="439"/>
      <c r="BJ18" s="439"/>
      <c r="BK18" s="439"/>
      <c r="BL18" s="439"/>
      <c r="BM18" s="439"/>
      <c r="BN18" s="439"/>
      <c r="BO18" s="439"/>
      <c r="BP18" s="439"/>
      <c r="BQ18" s="439"/>
      <c r="BR18" s="439"/>
      <c r="BS18" s="439"/>
      <c r="BT18" s="439"/>
      <c r="BU18" s="439"/>
      <c r="BV18" s="439"/>
      <c r="BW18" s="439"/>
      <c r="BX18" s="439"/>
      <c r="BY18" s="439"/>
      <c r="BZ18" s="439"/>
      <c r="CA18" s="439"/>
      <c r="CB18" s="439"/>
      <c r="CC18" s="439"/>
      <c r="CD18" s="439"/>
      <c r="CE18" s="439"/>
      <c r="CF18" s="439"/>
      <c r="CG18" s="439"/>
      <c r="CH18" s="439"/>
      <c r="CI18" s="439"/>
      <c r="CJ18" s="439"/>
      <c r="CK18" s="439"/>
      <c r="CL18" s="439"/>
      <c r="CM18" s="439"/>
      <c r="CN18" s="439"/>
      <c r="CO18" s="439"/>
      <c r="CP18" s="439"/>
      <c r="CQ18" s="439"/>
      <c r="CR18" s="439"/>
      <c r="CS18" s="439"/>
      <c r="CT18" s="439"/>
      <c r="CU18" s="439"/>
      <c r="CV18" s="439"/>
      <c r="CW18" s="439"/>
      <c r="CX18" s="439"/>
      <c r="CY18" s="439"/>
      <c r="CZ18" s="439"/>
      <c r="DA18" s="439"/>
      <c r="DB18" s="439"/>
      <c r="DC18" s="439"/>
      <c r="DD18" s="439"/>
      <c r="DE18" s="439"/>
      <c r="DF18" s="439"/>
      <c r="DG18" s="439"/>
      <c r="DH18" s="439"/>
      <c r="DI18" s="439"/>
      <c r="DJ18" s="439"/>
      <c r="DK18" s="439"/>
      <c r="DL18" s="439"/>
      <c r="DM18" s="439"/>
      <c r="DN18" s="439"/>
      <c r="DO18" s="439"/>
      <c r="DP18" s="439"/>
      <c r="DQ18" s="439"/>
      <c r="DR18" s="439"/>
      <c r="DS18" s="439"/>
      <c r="DT18" s="439"/>
      <c r="DU18" s="439"/>
      <c r="DV18" s="439"/>
      <c r="DW18" s="439"/>
      <c r="DX18" s="439"/>
      <c r="DY18" s="439"/>
      <c r="DZ18" s="439"/>
      <c r="EA18" s="439"/>
      <c r="EB18" s="439"/>
      <c r="EC18" s="439"/>
      <c r="ED18" s="439"/>
      <c r="EE18" s="439"/>
      <c r="EF18" s="439"/>
      <c r="EG18" s="439"/>
      <c r="EH18" s="439"/>
      <c r="EI18" s="439"/>
      <c r="EJ18" s="439"/>
      <c r="EK18" s="439"/>
      <c r="EL18" s="439"/>
      <c r="EM18" s="439"/>
      <c r="EN18" s="439"/>
      <c r="EO18" s="439"/>
      <c r="EP18" s="439"/>
      <c r="EQ18" s="439"/>
      <c r="ER18" s="439"/>
      <c r="ES18" s="439"/>
      <c r="ET18" s="439"/>
      <c r="EU18" s="439"/>
      <c r="EV18" s="439"/>
      <c r="EW18" s="439"/>
      <c r="EX18" s="439"/>
      <c r="EY18" s="439"/>
      <c r="EZ18" s="439"/>
      <c r="FA18" s="439"/>
      <c r="FB18" s="439"/>
      <c r="FC18" s="439"/>
      <c r="FD18" s="439"/>
      <c r="FE18" s="439"/>
      <c r="FF18" s="439"/>
      <c r="FG18" s="439"/>
      <c r="FH18" s="439"/>
      <c r="FI18" s="439"/>
      <c r="FJ18" s="439"/>
      <c r="FK18" s="439"/>
      <c r="FL18" s="439"/>
      <c r="FM18" s="439"/>
      <c r="FN18" s="439"/>
      <c r="FO18" s="439"/>
      <c r="FP18" s="439"/>
      <c r="FQ18" s="439"/>
      <c r="FR18" s="439"/>
      <c r="FS18" s="439"/>
      <c r="FT18" s="439"/>
      <c r="FU18" s="439"/>
      <c r="FV18" s="439"/>
      <c r="FW18" s="439"/>
      <c r="FX18" s="439"/>
      <c r="FY18" s="439"/>
      <c r="FZ18" s="439"/>
      <c r="GA18" s="439"/>
      <c r="GB18" s="439"/>
      <c r="GC18" s="439"/>
      <c r="GD18" s="439"/>
      <c r="GE18" s="439"/>
      <c r="GF18" s="439"/>
      <c r="GG18" s="439"/>
      <c r="GH18" s="439"/>
      <c r="GI18" s="439"/>
      <c r="GJ18" s="439"/>
      <c r="GK18" s="439"/>
      <c r="GL18" s="439"/>
      <c r="GM18" s="439"/>
      <c r="GN18" s="439"/>
      <c r="GO18" s="439"/>
      <c r="GP18" s="439"/>
      <c r="GQ18" s="439"/>
      <c r="GR18" s="439"/>
      <c r="GS18" s="439"/>
      <c r="GT18" s="439"/>
      <c r="GU18" s="439"/>
      <c r="GV18" s="439"/>
      <c r="GW18" s="439"/>
      <c r="GX18" s="439"/>
      <c r="GY18" s="439"/>
      <c r="GZ18" s="439"/>
      <c r="HA18" s="439"/>
      <c r="HB18" s="439"/>
      <c r="HC18" s="439"/>
      <c r="HD18" s="439"/>
      <c r="HE18" s="439"/>
      <c r="HF18" s="439"/>
      <c r="HG18" s="439"/>
      <c r="HH18" s="439"/>
      <c r="HI18" s="439"/>
      <c r="HJ18" s="439"/>
      <c r="HK18" s="439"/>
      <c r="HL18" s="439"/>
      <c r="HM18" s="439"/>
      <c r="HN18" s="439"/>
      <c r="HO18" s="439"/>
      <c r="HP18" s="439"/>
      <c r="HQ18" s="439"/>
      <c r="HR18" s="439"/>
      <c r="HS18" s="439"/>
      <c r="HT18" s="439"/>
      <c r="HU18" s="439"/>
      <c r="HV18" s="439"/>
      <c r="HW18" s="439"/>
      <c r="HX18" s="439"/>
      <c r="HY18" s="439"/>
      <c r="HZ18" s="439"/>
      <c r="IA18" s="439"/>
      <c r="IB18" s="439"/>
      <c r="IC18" s="439"/>
      <c r="ID18" s="439"/>
      <c r="IE18" s="439"/>
      <c r="IF18" s="439"/>
      <c r="IG18" s="439"/>
      <c r="IH18" s="439"/>
      <c r="II18" s="439"/>
      <c r="IJ18" s="439"/>
      <c r="IK18" s="439"/>
      <c r="IL18" s="439"/>
      <c r="IM18" s="439"/>
      <c r="IN18" s="439"/>
      <c r="IO18" s="439"/>
      <c r="IP18" s="439"/>
      <c r="IQ18" s="439"/>
      <c r="IR18" s="439"/>
      <c r="IS18" s="439"/>
      <c r="IT18" s="439"/>
      <c r="IU18" s="439"/>
      <c r="IV18" s="439"/>
    </row>
    <row r="19" spans="1:256" ht="20.100000000000001" customHeight="1">
      <c r="A19" s="451" t="s">
        <v>450</v>
      </c>
      <c r="B19" s="452" t="s">
        <v>451</v>
      </c>
      <c r="C19" s="453" t="s">
        <v>459</v>
      </c>
      <c r="D19" s="453">
        <v>8.3000000000000007</v>
      </c>
      <c r="E19" s="454">
        <f>TRUNC((G6+I6)*D19%)</f>
        <v>1427981</v>
      </c>
      <c r="F19" s="455"/>
      <c r="G19" s="455"/>
      <c r="H19" s="455"/>
      <c r="I19" s="455"/>
      <c r="J19" s="455"/>
      <c r="K19" s="456">
        <f t="shared" si="0"/>
        <v>1427981</v>
      </c>
      <c r="L19" s="457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  <c r="AJ19" s="439"/>
      <c r="AK19" s="439"/>
      <c r="AL19" s="439"/>
      <c r="AM19" s="439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439"/>
      <c r="AY19" s="439"/>
      <c r="AZ19" s="439"/>
      <c r="BA19" s="439"/>
      <c r="BB19" s="439"/>
      <c r="BC19" s="439"/>
      <c r="BD19" s="439"/>
      <c r="BE19" s="439"/>
      <c r="BF19" s="439"/>
      <c r="BG19" s="439"/>
      <c r="BH19" s="439"/>
      <c r="BI19" s="439"/>
      <c r="BJ19" s="439"/>
      <c r="BK19" s="439"/>
      <c r="BL19" s="439"/>
      <c r="BM19" s="439"/>
      <c r="BN19" s="439"/>
      <c r="BO19" s="439"/>
      <c r="BP19" s="439"/>
      <c r="BQ19" s="439"/>
      <c r="BR19" s="439"/>
      <c r="BS19" s="439"/>
      <c r="BT19" s="439"/>
      <c r="BU19" s="439"/>
      <c r="BV19" s="439"/>
      <c r="BW19" s="439"/>
      <c r="BX19" s="439"/>
      <c r="BY19" s="439"/>
      <c r="BZ19" s="439"/>
      <c r="CA19" s="439"/>
      <c r="CB19" s="439"/>
      <c r="CC19" s="439"/>
      <c r="CD19" s="439"/>
      <c r="CE19" s="439"/>
      <c r="CF19" s="439"/>
      <c r="CG19" s="439"/>
      <c r="CH19" s="439"/>
      <c r="CI19" s="439"/>
      <c r="CJ19" s="439"/>
      <c r="CK19" s="439"/>
      <c r="CL19" s="439"/>
      <c r="CM19" s="439"/>
      <c r="CN19" s="439"/>
      <c r="CO19" s="439"/>
      <c r="CP19" s="439"/>
      <c r="CQ19" s="439"/>
      <c r="CR19" s="439"/>
      <c r="CS19" s="439"/>
      <c r="CT19" s="439"/>
      <c r="CU19" s="439"/>
      <c r="CV19" s="439"/>
      <c r="CW19" s="439"/>
      <c r="CX19" s="439"/>
      <c r="CY19" s="439"/>
      <c r="CZ19" s="439"/>
      <c r="DA19" s="439"/>
      <c r="DB19" s="439"/>
      <c r="DC19" s="439"/>
      <c r="DD19" s="439"/>
      <c r="DE19" s="439"/>
      <c r="DF19" s="439"/>
      <c r="DG19" s="439"/>
      <c r="DH19" s="439"/>
      <c r="DI19" s="439"/>
      <c r="DJ19" s="439"/>
      <c r="DK19" s="439"/>
      <c r="DL19" s="439"/>
      <c r="DM19" s="439"/>
      <c r="DN19" s="439"/>
      <c r="DO19" s="439"/>
      <c r="DP19" s="439"/>
      <c r="DQ19" s="439"/>
      <c r="DR19" s="439"/>
      <c r="DS19" s="439"/>
      <c r="DT19" s="439"/>
      <c r="DU19" s="439"/>
      <c r="DV19" s="439"/>
      <c r="DW19" s="439"/>
      <c r="DX19" s="439"/>
      <c r="DY19" s="439"/>
      <c r="DZ19" s="439"/>
      <c r="EA19" s="439"/>
      <c r="EB19" s="439"/>
      <c r="EC19" s="439"/>
      <c r="ED19" s="439"/>
      <c r="EE19" s="439"/>
      <c r="EF19" s="439"/>
      <c r="EG19" s="439"/>
      <c r="EH19" s="439"/>
      <c r="EI19" s="439"/>
      <c r="EJ19" s="439"/>
      <c r="EK19" s="439"/>
      <c r="EL19" s="439"/>
      <c r="EM19" s="439"/>
      <c r="EN19" s="439"/>
      <c r="EO19" s="439"/>
      <c r="EP19" s="439"/>
      <c r="EQ19" s="439"/>
      <c r="ER19" s="439"/>
      <c r="ES19" s="439"/>
      <c r="ET19" s="439"/>
      <c r="EU19" s="439"/>
      <c r="EV19" s="439"/>
      <c r="EW19" s="439"/>
      <c r="EX19" s="439"/>
      <c r="EY19" s="439"/>
      <c r="EZ19" s="439"/>
      <c r="FA19" s="439"/>
      <c r="FB19" s="439"/>
      <c r="FC19" s="439"/>
      <c r="FD19" s="439"/>
      <c r="FE19" s="439"/>
      <c r="FF19" s="439"/>
      <c r="FG19" s="439"/>
      <c r="FH19" s="439"/>
      <c r="FI19" s="439"/>
      <c r="FJ19" s="439"/>
      <c r="FK19" s="439"/>
      <c r="FL19" s="439"/>
      <c r="FM19" s="439"/>
      <c r="FN19" s="439"/>
      <c r="FO19" s="439"/>
      <c r="FP19" s="439"/>
      <c r="FQ19" s="439"/>
      <c r="FR19" s="439"/>
      <c r="FS19" s="439"/>
      <c r="FT19" s="439"/>
      <c r="FU19" s="439"/>
      <c r="FV19" s="439"/>
      <c r="FW19" s="439"/>
      <c r="FX19" s="439"/>
      <c r="FY19" s="439"/>
      <c r="FZ19" s="439"/>
      <c r="GA19" s="439"/>
      <c r="GB19" s="439"/>
      <c r="GC19" s="439"/>
      <c r="GD19" s="439"/>
      <c r="GE19" s="439"/>
      <c r="GF19" s="439"/>
      <c r="GG19" s="439"/>
      <c r="GH19" s="439"/>
      <c r="GI19" s="439"/>
      <c r="GJ19" s="439"/>
      <c r="GK19" s="439"/>
      <c r="GL19" s="439"/>
      <c r="GM19" s="439"/>
      <c r="GN19" s="439"/>
      <c r="GO19" s="439"/>
      <c r="GP19" s="439"/>
      <c r="GQ19" s="439"/>
      <c r="GR19" s="439"/>
      <c r="GS19" s="439"/>
      <c r="GT19" s="439"/>
      <c r="GU19" s="439"/>
      <c r="GV19" s="439"/>
      <c r="GW19" s="439"/>
      <c r="GX19" s="439"/>
      <c r="GY19" s="439"/>
      <c r="GZ19" s="439"/>
      <c r="HA19" s="439"/>
      <c r="HB19" s="439"/>
      <c r="HC19" s="439"/>
      <c r="HD19" s="439"/>
      <c r="HE19" s="439"/>
      <c r="HF19" s="439"/>
      <c r="HG19" s="439"/>
      <c r="HH19" s="439"/>
      <c r="HI19" s="439"/>
      <c r="HJ19" s="439"/>
      <c r="HK19" s="439"/>
      <c r="HL19" s="439"/>
      <c r="HM19" s="439"/>
      <c r="HN19" s="439"/>
      <c r="HO19" s="439"/>
      <c r="HP19" s="439"/>
      <c r="HQ19" s="439"/>
      <c r="HR19" s="439"/>
      <c r="HS19" s="439"/>
      <c r="HT19" s="439"/>
      <c r="HU19" s="439"/>
      <c r="HV19" s="439"/>
      <c r="HW19" s="439"/>
      <c r="HX19" s="439"/>
      <c r="HY19" s="439"/>
      <c r="HZ19" s="439"/>
      <c r="IA19" s="439"/>
      <c r="IB19" s="439"/>
      <c r="IC19" s="439"/>
      <c r="ID19" s="439"/>
      <c r="IE19" s="439"/>
      <c r="IF19" s="439"/>
      <c r="IG19" s="439"/>
      <c r="IH19" s="439"/>
      <c r="II19" s="439"/>
      <c r="IJ19" s="439"/>
      <c r="IK19" s="439"/>
      <c r="IL19" s="439"/>
      <c r="IM19" s="439"/>
      <c r="IN19" s="439"/>
      <c r="IO19" s="439"/>
      <c r="IP19" s="439"/>
      <c r="IQ19" s="439"/>
      <c r="IR19" s="439"/>
      <c r="IS19" s="439"/>
      <c r="IT19" s="439"/>
      <c r="IU19" s="439"/>
      <c r="IV19" s="439"/>
    </row>
    <row r="20" spans="1:256" ht="20.100000000000001" customHeight="1">
      <c r="A20" s="451" t="s">
        <v>452</v>
      </c>
      <c r="B20" s="452" t="s">
        <v>78</v>
      </c>
      <c r="C20" s="453"/>
      <c r="D20" s="453"/>
      <c r="E20" s="454">
        <f>SUM(E6:E19)-E16</f>
        <v>24514810</v>
      </c>
      <c r="F20" s="455"/>
      <c r="G20" s="456">
        <f>SUM(G6:G19)</f>
        <v>370226</v>
      </c>
      <c r="H20" s="456"/>
      <c r="I20" s="456">
        <f>SUM(I6:I19)</f>
        <v>19157516</v>
      </c>
      <c r="J20" s="456"/>
      <c r="K20" s="456">
        <f>SUM(K6:K19)-K17</f>
        <v>5084385.8</v>
      </c>
      <c r="L20" s="457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39"/>
      <c r="AS20" s="439"/>
      <c r="AT20" s="439"/>
      <c r="AU20" s="439"/>
      <c r="AV20" s="439"/>
      <c r="AW20" s="439"/>
      <c r="AX20" s="439"/>
      <c r="AY20" s="439"/>
      <c r="AZ20" s="439"/>
      <c r="BA20" s="439"/>
      <c r="BB20" s="439"/>
      <c r="BC20" s="439"/>
      <c r="BD20" s="439"/>
      <c r="BE20" s="439"/>
      <c r="BF20" s="439"/>
      <c r="BG20" s="439"/>
      <c r="BH20" s="439"/>
      <c r="BI20" s="439"/>
      <c r="BJ20" s="439"/>
      <c r="BK20" s="439"/>
      <c r="BL20" s="439"/>
      <c r="BM20" s="439"/>
      <c r="BN20" s="439"/>
      <c r="BO20" s="439"/>
      <c r="BP20" s="439"/>
      <c r="BQ20" s="439"/>
      <c r="BR20" s="439"/>
      <c r="BS20" s="439"/>
      <c r="BT20" s="439"/>
      <c r="BU20" s="439"/>
      <c r="BV20" s="439"/>
      <c r="BW20" s="439"/>
      <c r="BX20" s="439"/>
      <c r="BY20" s="439"/>
      <c r="BZ20" s="439"/>
      <c r="CA20" s="439"/>
      <c r="CB20" s="439"/>
      <c r="CC20" s="439"/>
      <c r="CD20" s="439"/>
      <c r="CE20" s="439"/>
      <c r="CF20" s="439"/>
      <c r="CG20" s="439"/>
      <c r="CH20" s="439"/>
      <c r="CI20" s="439"/>
      <c r="CJ20" s="439"/>
      <c r="CK20" s="439"/>
      <c r="CL20" s="439"/>
      <c r="CM20" s="439"/>
      <c r="CN20" s="439"/>
      <c r="CO20" s="439"/>
      <c r="CP20" s="439"/>
      <c r="CQ20" s="439"/>
      <c r="CR20" s="439"/>
      <c r="CS20" s="439"/>
      <c r="CT20" s="439"/>
      <c r="CU20" s="439"/>
      <c r="CV20" s="439"/>
      <c r="CW20" s="439"/>
      <c r="CX20" s="439"/>
      <c r="CY20" s="439"/>
      <c r="CZ20" s="439"/>
      <c r="DA20" s="439"/>
      <c r="DB20" s="439"/>
      <c r="DC20" s="439"/>
      <c r="DD20" s="439"/>
      <c r="DE20" s="439"/>
      <c r="DF20" s="439"/>
      <c r="DG20" s="439"/>
      <c r="DH20" s="439"/>
      <c r="DI20" s="439"/>
      <c r="DJ20" s="439"/>
      <c r="DK20" s="439"/>
      <c r="DL20" s="439"/>
      <c r="DM20" s="439"/>
      <c r="DN20" s="439"/>
      <c r="DO20" s="439"/>
      <c r="DP20" s="439"/>
      <c r="DQ20" s="439"/>
      <c r="DR20" s="439"/>
      <c r="DS20" s="439"/>
      <c r="DT20" s="439"/>
      <c r="DU20" s="439"/>
      <c r="DV20" s="439"/>
      <c r="DW20" s="439"/>
      <c r="DX20" s="439"/>
      <c r="DY20" s="439"/>
      <c r="DZ20" s="439"/>
      <c r="EA20" s="439"/>
      <c r="EB20" s="439"/>
      <c r="EC20" s="439"/>
      <c r="ED20" s="439"/>
      <c r="EE20" s="439"/>
      <c r="EF20" s="439"/>
      <c r="EG20" s="439"/>
      <c r="EH20" s="439"/>
      <c r="EI20" s="439"/>
      <c r="EJ20" s="439"/>
      <c r="EK20" s="439"/>
      <c r="EL20" s="439"/>
      <c r="EM20" s="439"/>
      <c r="EN20" s="439"/>
      <c r="EO20" s="439"/>
      <c r="EP20" s="439"/>
      <c r="EQ20" s="439"/>
      <c r="ER20" s="439"/>
      <c r="ES20" s="439"/>
      <c r="ET20" s="439"/>
      <c r="EU20" s="439"/>
      <c r="EV20" s="439"/>
      <c r="EW20" s="439"/>
      <c r="EX20" s="439"/>
      <c r="EY20" s="439"/>
      <c r="EZ20" s="439"/>
      <c r="FA20" s="439"/>
      <c r="FB20" s="439"/>
      <c r="FC20" s="439"/>
      <c r="FD20" s="439"/>
      <c r="FE20" s="439"/>
      <c r="FF20" s="439"/>
      <c r="FG20" s="439"/>
      <c r="FH20" s="439"/>
      <c r="FI20" s="439"/>
      <c r="FJ20" s="439"/>
      <c r="FK20" s="439"/>
      <c r="FL20" s="439"/>
      <c r="FM20" s="439"/>
      <c r="FN20" s="439"/>
      <c r="FO20" s="439"/>
      <c r="FP20" s="439"/>
      <c r="FQ20" s="439"/>
      <c r="FR20" s="439"/>
      <c r="FS20" s="439"/>
      <c r="FT20" s="439"/>
      <c r="FU20" s="439"/>
      <c r="FV20" s="439"/>
      <c r="FW20" s="439"/>
      <c r="FX20" s="439"/>
      <c r="FY20" s="439"/>
      <c r="FZ20" s="439"/>
      <c r="GA20" s="439"/>
      <c r="GB20" s="439"/>
      <c r="GC20" s="439"/>
      <c r="GD20" s="439"/>
      <c r="GE20" s="439"/>
      <c r="GF20" s="439"/>
      <c r="GG20" s="439"/>
      <c r="GH20" s="439"/>
      <c r="GI20" s="439"/>
      <c r="GJ20" s="439"/>
      <c r="GK20" s="439"/>
      <c r="GL20" s="439"/>
      <c r="GM20" s="439"/>
      <c r="GN20" s="439"/>
      <c r="GO20" s="439"/>
      <c r="GP20" s="439"/>
      <c r="GQ20" s="439"/>
      <c r="GR20" s="439"/>
      <c r="GS20" s="439"/>
      <c r="GT20" s="439"/>
      <c r="GU20" s="439"/>
      <c r="GV20" s="439"/>
      <c r="GW20" s="439"/>
      <c r="GX20" s="439"/>
      <c r="GY20" s="439"/>
      <c r="GZ20" s="439"/>
      <c r="HA20" s="439"/>
      <c r="HB20" s="439"/>
      <c r="HC20" s="439"/>
      <c r="HD20" s="439"/>
      <c r="HE20" s="439"/>
      <c r="HF20" s="439"/>
      <c r="HG20" s="439"/>
      <c r="HH20" s="439"/>
      <c r="HI20" s="439"/>
      <c r="HJ20" s="439"/>
      <c r="HK20" s="439"/>
      <c r="HL20" s="439"/>
      <c r="HM20" s="439"/>
      <c r="HN20" s="439"/>
      <c r="HO20" s="439"/>
      <c r="HP20" s="439"/>
      <c r="HQ20" s="439"/>
      <c r="HR20" s="439"/>
      <c r="HS20" s="439"/>
      <c r="HT20" s="439"/>
      <c r="HU20" s="439"/>
      <c r="HV20" s="439"/>
      <c r="HW20" s="439"/>
      <c r="HX20" s="439"/>
      <c r="HY20" s="439"/>
      <c r="HZ20" s="439"/>
      <c r="IA20" s="439"/>
      <c r="IB20" s="439"/>
      <c r="IC20" s="439"/>
      <c r="ID20" s="439"/>
      <c r="IE20" s="439"/>
      <c r="IF20" s="439"/>
      <c r="IG20" s="439"/>
      <c r="IH20" s="439"/>
      <c r="II20" s="439"/>
      <c r="IJ20" s="439"/>
      <c r="IK20" s="439"/>
      <c r="IL20" s="439"/>
      <c r="IM20" s="439"/>
      <c r="IN20" s="439"/>
      <c r="IO20" s="439"/>
      <c r="IP20" s="439"/>
      <c r="IQ20" s="439"/>
      <c r="IR20" s="439"/>
      <c r="IS20" s="439"/>
      <c r="IT20" s="439"/>
      <c r="IU20" s="439"/>
      <c r="IV20" s="439"/>
    </row>
    <row r="21" spans="1:256" ht="20.100000000000001" customHeight="1">
      <c r="A21" s="451" t="s">
        <v>453</v>
      </c>
      <c r="B21" s="452" t="s">
        <v>454</v>
      </c>
      <c r="C21" s="453" t="s">
        <v>459</v>
      </c>
      <c r="D21" s="459">
        <v>6</v>
      </c>
      <c r="E21" s="454">
        <f>TRUNC(E20*D21%,)</f>
        <v>1470888</v>
      </c>
      <c r="F21" s="455"/>
      <c r="G21" s="455"/>
      <c r="H21" s="455"/>
      <c r="I21" s="455"/>
      <c r="J21" s="455"/>
      <c r="K21" s="455"/>
      <c r="L21" s="457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439"/>
      <c r="AO21" s="439"/>
      <c r="AP21" s="439"/>
      <c r="AQ21" s="439"/>
      <c r="AR21" s="439"/>
      <c r="AS21" s="439"/>
      <c r="AT21" s="439"/>
      <c r="AU21" s="439"/>
      <c r="AV21" s="439"/>
      <c r="AW21" s="439"/>
      <c r="AX21" s="439"/>
      <c r="AY21" s="439"/>
      <c r="AZ21" s="439"/>
      <c r="BA21" s="439"/>
      <c r="BB21" s="439"/>
      <c r="BC21" s="439"/>
      <c r="BD21" s="439"/>
      <c r="BE21" s="439"/>
      <c r="BF21" s="439"/>
      <c r="BG21" s="439"/>
      <c r="BH21" s="439"/>
      <c r="BI21" s="439"/>
      <c r="BJ21" s="439"/>
      <c r="BK21" s="439"/>
      <c r="BL21" s="439"/>
      <c r="BM21" s="439"/>
      <c r="BN21" s="439"/>
      <c r="BO21" s="439"/>
      <c r="BP21" s="439"/>
      <c r="BQ21" s="439"/>
      <c r="BR21" s="439"/>
      <c r="BS21" s="439"/>
      <c r="BT21" s="439"/>
      <c r="BU21" s="439"/>
      <c r="BV21" s="439"/>
      <c r="BW21" s="439"/>
      <c r="BX21" s="439"/>
      <c r="BY21" s="439"/>
      <c r="BZ21" s="439"/>
      <c r="CA21" s="439"/>
      <c r="CB21" s="439"/>
      <c r="CC21" s="439"/>
      <c r="CD21" s="439"/>
      <c r="CE21" s="439"/>
      <c r="CF21" s="439"/>
      <c r="CG21" s="439"/>
      <c r="CH21" s="439"/>
      <c r="CI21" s="439"/>
      <c r="CJ21" s="439"/>
      <c r="CK21" s="439"/>
      <c r="CL21" s="439"/>
      <c r="CM21" s="439"/>
      <c r="CN21" s="439"/>
      <c r="CO21" s="439"/>
      <c r="CP21" s="439"/>
      <c r="CQ21" s="439"/>
      <c r="CR21" s="439"/>
      <c r="CS21" s="439"/>
      <c r="CT21" s="439"/>
      <c r="CU21" s="439"/>
      <c r="CV21" s="439"/>
      <c r="CW21" s="439"/>
      <c r="CX21" s="439"/>
      <c r="CY21" s="439"/>
      <c r="CZ21" s="439"/>
      <c r="DA21" s="439"/>
      <c r="DB21" s="439"/>
      <c r="DC21" s="439"/>
      <c r="DD21" s="439"/>
      <c r="DE21" s="439"/>
      <c r="DF21" s="439"/>
      <c r="DG21" s="439"/>
      <c r="DH21" s="439"/>
      <c r="DI21" s="439"/>
      <c r="DJ21" s="439"/>
      <c r="DK21" s="439"/>
      <c r="DL21" s="439"/>
      <c r="DM21" s="439"/>
      <c r="DN21" s="439"/>
      <c r="DO21" s="439"/>
      <c r="DP21" s="439"/>
      <c r="DQ21" s="439"/>
      <c r="DR21" s="439"/>
      <c r="DS21" s="439"/>
      <c r="DT21" s="439"/>
      <c r="DU21" s="439"/>
      <c r="DV21" s="439"/>
      <c r="DW21" s="439"/>
      <c r="DX21" s="439"/>
      <c r="DY21" s="439"/>
      <c r="DZ21" s="439"/>
      <c r="EA21" s="439"/>
      <c r="EB21" s="439"/>
      <c r="EC21" s="439"/>
      <c r="ED21" s="439"/>
      <c r="EE21" s="439"/>
      <c r="EF21" s="439"/>
      <c r="EG21" s="439"/>
      <c r="EH21" s="439"/>
      <c r="EI21" s="439"/>
      <c r="EJ21" s="439"/>
      <c r="EK21" s="439"/>
      <c r="EL21" s="439"/>
      <c r="EM21" s="439"/>
      <c r="EN21" s="439"/>
      <c r="EO21" s="439"/>
      <c r="EP21" s="439"/>
      <c r="EQ21" s="439"/>
      <c r="ER21" s="439"/>
      <c r="ES21" s="439"/>
      <c r="ET21" s="439"/>
      <c r="EU21" s="439"/>
      <c r="EV21" s="439"/>
      <c r="EW21" s="439"/>
      <c r="EX21" s="439"/>
      <c r="EY21" s="439"/>
      <c r="EZ21" s="439"/>
      <c r="FA21" s="439"/>
      <c r="FB21" s="439"/>
      <c r="FC21" s="439"/>
      <c r="FD21" s="439"/>
      <c r="FE21" s="439"/>
      <c r="FF21" s="439"/>
      <c r="FG21" s="439"/>
      <c r="FH21" s="439"/>
      <c r="FI21" s="439"/>
      <c r="FJ21" s="439"/>
      <c r="FK21" s="439"/>
      <c r="FL21" s="439"/>
      <c r="FM21" s="439"/>
      <c r="FN21" s="439"/>
      <c r="FO21" s="439"/>
      <c r="FP21" s="439"/>
      <c r="FQ21" s="439"/>
      <c r="FR21" s="439"/>
      <c r="FS21" s="439"/>
      <c r="FT21" s="439"/>
      <c r="FU21" s="439"/>
      <c r="FV21" s="439"/>
      <c r="FW21" s="439"/>
      <c r="FX21" s="439"/>
      <c r="FY21" s="439"/>
      <c r="FZ21" s="439"/>
      <c r="GA21" s="439"/>
      <c r="GB21" s="439"/>
      <c r="GC21" s="439"/>
      <c r="GD21" s="439"/>
      <c r="GE21" s="439"/>
      <c r="GF21" s="439"/>
      <c r="GG21" s="439"/>
      <c r="GH21" s="439"/>
      <c r="GI21" s="439"/>
      <c r="GJ21" s="439"/>
      <c r="GK21" s="439"/>
      <c r="GL21" s="439"/>
      <c r="GM21" s="439"/>
      <c r="GN21" s="439"/>
      <c r="GO21" s="439"/>
      <c r="GP21" s="439"/>
      <c r="GQ21" s="439"/>
      <c r="GR21" s="439"/>
      <c r="GS21" s="439"/>
      <c r="GT21" s="439"/>
      <c r="GU21" s="439"/>
      <c r="GV21" s="439"/>
      <c r="GW21" s="439"/>
      <c r="GX21" s="439"/>
      <c r="GY21" s="439"/>
      <c r="GZ21" s="439"/>
      <c r="HA21" s="439"/>
      <c r="HB21" s="439"/>
      <c r="HC21" s="439"/>
      <c r="HD21" s="439"/>
      <c r="HE21" s="439"/>
      <c r="HF21" s="439"/>
      <c r="HG21" s="439"/>
      <c r="HH21" s="439"/>
      <c r="HI21" s="439"/>
      <c r="HJ21" s="439"/>
      <c r="HK21" s="439"/>
      <c r="HL21" s="439"/>
      <c r="HM21" s="439"/>
      <c r="HN21" s="439"/>
      <c r="HO21" s="439"/>
      <c r="HP21" s="439"/>
      <c r="HQ21" s="439"/>
      <c r="HR21" s="439"/>
      <c r="HS21" s="439"/>
      <c r="HT21" s="439"/>
      <c r="HU21" s="439"/>
      <c r="HV21" s="439"/>
      <c r="HW21" s="439"/>
      <c r="HX21" s="439"/>
      <c r="HY21" s="439"/>
      <c r="HZ21" s="439"/>
      <c r="IA21" s="439"/>
      <c r="IB21" s="439"/>
      <c r="IC21" s="439"/>
      <c r="ID21" s="439"/>
      <c r="IE21" s="439"/>
      <c r="IF21" s="439"/>
      <c r="IG21" s="439"/>
      <c r="IH21" s="439"/>
      <c r="II21" s="439"/>
      <c r="IJ21" s="439"/>
      <c r="IK21" s="439"/>
      <c r="IL21" s="439"/>
      <c r="IM21" s="439"/>
      <c r="IN21" s="439"/>
      <c r="IO21" s="439"/>
      <c r="IP21" s="439"/>
      <c r="IQ21" s="439"/>
      <c r="IR21" s="439"/>
      <c r="IS21" s="439"/>
      <c r="IT21" s="439"/>
      <c r="IU21" s="439"/>
      <c r="IV21" s="439"/>
    </row>
    <row r="22" spans="1:256" ht="20.100000000000001" customHeight="1">
      <c r="A22" s="451" t="s">
        <v>455</v>
      </c>
      <c r="B22" s="452" t="s">
        <v>460</v>
      </c>
      <c r="C22" s="453" t="s">
        <v>459</v>
      </c>
      <c r="D22" s="459">
        <v>15</v>
      </c>
      <c r="E22" s="454">
        <f>TRUNC((I20+K20+E21)*D22%,)</f>
        <v>3856918</v>
      </c>
      <c r="F22" s="455"/>
      <c r="G22" s="455"/>
      <c r="H22" s="455"/>
      <c r="I22" s="455"/>
      <c r="J22" s="455"/>
      <c r="K22" s="455"/>
      <c r="L22" s="457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39"/>
      <c r="AS22" s="439"/>
      <c r="AT22" s="439"/>
      <c r="AU22" s="439"/>
      <c r="AV22" s="439"/>
      <c r="AW22" s="439"/>
      <c r="AX22" s="439"/>
      <c r="AY22" s="439"/>
      <c r="AZ22" s="439"/>
      <c r="BA22" s="439"/>
      <c r="BB22" s="439"/>
      <c r="BC22" s="439"/>
      <c r="BD22" s="439"/>
      <c r="BE22" s="439"/>
      <c r="BF22" s="439"/>
      <c r="BG22" s="439"/>
      <c r="BH22" s="439"/>
      <c r="BI22" s="439"/>
      <c r="BJ22" s="439"/>
      <c r="BK22" s="439"/>
      <c r="BL22" s="439"/>
      <c r="BM22" s="439"/>
      <c r="BN22" s="439"/>
      <c r="BO22" s="439"/>
      <c r="BP22" s="439"/>
      <c r="BQ22" s="439"/>
      <c r="BR22" s="439"/>
      <c r="BS22" s="439"/>
      <c r="BT22" s="439"/>
      <c r="BU22" s="439"/>
      <c r="BV22" s="439"/>
      <c r="BW22" s="439"/>
      <c r="BX22" s="439"/>
      <c r="BY22" s="439"/>
      <c r="BZ22" s="439"/>
      <c r="CA22" s="439"/>
      <c r="CB22" s="439"/>
      <c r="CC22" s="439"/>
      <c r="CD22" s="439"/>
      <c r="CE22" s="439"/>
      <c r="CF22" s="439"/>
      <c r="CG22" s="439"/>
      <c r="CH22" s="439"/>
      <c r="CI22" s="439"/>
      <c r="CJ22" s="439"/>
      <c r="CK22" s="439"/>
      <c r="CL22" s="439"/>
      <c r="CM22" s="439"/>
      <c r="CN22" s="439"/>
      <c r="CO22" s="439"/>
      <c r="CP22" s="439"/>
      <c r="CQ22" s="439"/>
      <c r="CR22" s="439"/>
      <c r="CS22" s="439"/>
      <c r="CT22" s="439"/>
      <c r="CU22" s="439"/>
      <c r="CV22" s="439"/>
      <c r="CW22" s="439"/>
      <c r="CX22" s="439"/>
      <c r="CY22" s="439"/>
      <c r="CZ22" s="439"/>
      <c r="DA22" s="439"/>
      <c r="DB22" s="439"/>
      <c r="DC22" s="439"/>
      <c r="DD22" s="439"/>
      <c r="DE22" s="439"/>
      <c r="DF22" s="439"/>
      <c r="DG22" s="439"/>
      <c r="DH22" s="439"/>
      <c r="DI22" s="439"/>
      <c r="DJ22" s="439"/>
      <c r="DK22" s="439"/>
      <c r="DL22" s="439"/>
      <c r="DM22" s="439"/>
      <c r="DN22" s="439"/>
      <c r="DO22" s="439"/>
      <c r="DP22" s="439"/>
      <c r="DQ22" s="439"/>
      <c r="DR22" s="439"/>
      <c r="DS22" s="439"/>
      <c r="DT22" s="439"/>
      <c r="DU22" s="439"/>
      <c r="DV22" s="439"/>
      <c r="DW22" s="439"/>
      <c r="DX22" s="439"/>
      <c r="DY22" s="439"/>
      <c r="DZ22" s="439"/>
      <c r="EA22" s="439"/>
      <c r="EB22" s="439"/>
      <c r="EC22" s="439"/>
      <c r="ED22" s="439"/>
      <c r="EE22" s="439"/>
      <c r="EF22" s="439"/>
      <c r="EG22" s="439"/>
      <c r="EH22" s="439"/>
      <c r="EI22" s="439"/>
      <c r="EJ22" s="439"/>
      <c r="EK22" s="439"/>
      <c r="EL22" s="439"/>
      <c r="EM22" s="439"/>
      <c r="EN22" s="439"/>
      <c r="EO22" s="439"/>
      <c r="EP22" s="439"/>
      <c r="EQ22" s="439"/>
      <c r="ER22" s="439"/>
      <c r="ES22" s="439"/>
      <c r="ET22" s="439"/>
      <c r="EU22" s="439"/>
      <c r="EV22" s="439"/>
      <c r="EW22" s="439"/>
      <c r="EX22" s="439"/>
      <c r="EY22" s="439"/>
      <c r="EZ22" s="439"/>
      <c r="FA22" s="439"/>
      <c r="FB22" s="439"/>
      <c r="FC22" s="439"/>
      <c r="FD22" s="439"/>
      <c r="FE22" s="439"/>
      <c r="FF22" s="439"/>
      <c r="FG22" s="439"/>
      <c r="FH22" s="439"/>
      <c r="FI22" s="439"/>
      <c r="FJ22" s="439"/>
      <c r="FK22" s="439"/>
      <c r="FL22" s="439"/>
      <c r="FM22" s="439"/>
      <c r="FN22" s="439"/>
      <c r="FO22" s="439"/>
      <c r="FP22" s="439"/>
      <c r="FQ22" s="439"/>
      <c r="FR22" s="439"/>
      <c r="FS22" s="439"/>
      <c r="FT22" s="439"/>
      <c r="FU22" s="439"/>
      <c r="FV22" s="439"/>
      <c r="FW22" s="439"/>
      <c r="FX22" s="439"/>
      <c r="FY22" s="439"/>
      <c r="FZ22" s="439"/>
      <c r="GA22" s="439"/>
      <c r="GB22" s="439"/>
      <c r="GC22" s="439"/>
      <c r="GD22" s="439"/>
      <c r="GE22" s="439"/>
      <c r="GF22" s="439"/>
      <c r="GG22" s="439"/>
      <c r="GH22" s="439"/>
      <c r="GI22" s="439"/>
      <c r="GJ22" s="439"/>
      <c r="GK22" s="439"/>
      <c r="GL22" s="439"/>
      <c r="GM22" s="439"/>
      <c r="GN22" s="439"/>
      <c r="GO22" s="439"/>
      <c r="GP22" s="439"/>
      <c r="GQ22" s="439"/>
      <c r="GR22" s="439"/>
      <c r="GS22" s="439"/>
      <c r="GT22" s="439"/>
      <c r="GU22" s="439"/>
      <c r="GV22" s="439"/>
      <c r="GW22" s="439"/>
      <c r="GX22" s="439"/>
      <c r="GY22" s="439"/>
      <c r="GZ22" s="439"/>
      <c r="HA22" s="439"/>
      <c r="HB22" s="439"/>
      <c r="HC22" s="439"/>
      <c r="HD22" s="439"/>
      <c r="HE22" s="439"/>
      <c r="HF22" s="439"/>
      <c r="HG22" s="439"/>
      <c r="HH22" s="439"/>
      <c r="HI22" s="439"/>
      <c r="HJ22" s="439"/>
      <c r="HK22" s="439"/>
      <c r="HL22" s="439"/>
      <c r="HM22" s="439"/>
      <c r="HN22" s="439"/>
      <c r="HO22" s="439"/>
      <c r="HP22" s="439"/>
      <c r="HQ22" s="439"/>
      <c r="HR22" s="439"/>
      <c r="HS22" s="439"/>
      <c r="HT22" s="439"/>
      <c r="HU22" s="439"/>
      <c r="HV22" s="439"/>
      <c r="HW22" s="439"/>
      <c r="HX22" s="439"/>
      <c r="HY22" s="439"/>
      <c r="HZ22" s="439"/>
      <c r="IA22" s="439"/>
      <c r="IB22" s="439"/>
      <c r="IC22" s="439"/>
      <c r="ID22" s="439"/>
      <c r="IE22" s="439"/>
      <c r="IF22" s="439"/>
      <c r="IG22" s="439"/>
      <c r="IH22" s="439"/>
      <c r="II22" s="439"/>
      <c r="IJ22" s="439"/>
      <c r="IK22" s="439"/>
      <c r="IL22" s="439"/>
      <c r="IM22" s="439"/>
      <c r="IN22" s="439"/>
      <c r="IO22" s="439"/>
      <c r="IP22" s="439"/>
      <c r="IQ22" s="439"/>
      <c r="IR22" s="439"/>
      <c r="IS22" s="439"/>
      <c r="IT22" s="439"/>
      <c r="IU22" s="439"/>
      <c r="IV22" s="439"/>
    </row>
    <row r="23" spans="1:256" ht="20.100000000000001" customHeight="1">
      <c r="A23" s="451" t="s">
        <v>457</v>
      </c>
      <c r="B23" s="452" t="s">
        <v>78</v>
      </c>
      <c r="C23" s="460"/>
      <c r="D23" s="460"/>
      <c r="E23" s="454">
        <v>0</v>
      </c>
      <c r="F23" s="455"/>
      <c r="G23" s="455"/>
      <c r="H23" s="455"/>
      <c r="I23" s="455"/>
      <c r="J23" s="455"/>
      <c r="K23" s="455"/>
      <c r="L23" s="457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39"/>
      <c r="AL23" s="439"/>
      <c r="AM23" s="439"/>
      <c r="AN23" s="439"/>
      <c r="AO23" s="439"/>
      <c r="AP23" s="439"/>
      <c r="AQ23" s="439"/>
      <c r="AR23" s="439"/>
      <c r="AS23" s="439"/>
      <c r="AT23" s="439"/>
      <c r="AU23" s="439"/>
      <c r="AV23" s="439"/>
      <c r="AW23" s="439"/>
      <c r="AX23" s="439"/>
      <c r="AY23" s="439"/>
      <c r="AZ23" s="439"/>
      <c r="BA23" s="439"/>
      <c r="BB23" s="439"/>
      <c r="BC23" s="439"/>
      <c r="BD23" s="439"/>
      <c r="BE23" s="439"/>
      <c r="BF23" s="439"/>
      <c r="BG23" s="439"/>
      <c r="BH23" s="439"/>
      <c r="BI23" s="439"/>
      <c r="BJ23" s="439"/>
      <c r="BK23" s="439"/>
      <c r="BL23" s="439"/>
      <c r="BM23" s="439"/>
      <c r="BN23" s="439"/>
      <c r="BO23" s="439"/>
      <c r="BP23" s="439"/>
      <c r="BQ23" s="439"/>
      <c r="BR23" s="439"/>
      <c r="BS23" s="439"/>
      <c r="BT23" s="439"/>
      <c r="BU23" s="439"/>
      <c r="BV23" s="439"/>
      <c r="BW23" s="439"/>
      <c r="BX23" s="439"/>
      <c r="BY23" s="439"/>
      <c r="BZ23" s="439"/>
      <c r="CA23" s="439"/>
      <c r="CB23" s="439"/>
      <c r="CC23" s="439"/>
      <c r="CD23" s="439"/>
      <c r="CE23" s="439"/>
      <c r="CF23" s="439"/>
      <c r="CG23" s="439"/>
      <c r="CH23" s="439"/>
      <c r="CI23" s="439"/>
      <c r="CJ23" s="439"/>
      <c r="CK23" s="439"/>
      <c r="CL23" s="439"/>
      <c r="CM23" s="439"/>
      <c r="CN23" s="439"/>
      <c r="CO23" s="439"/>
      <c r="CP23" s="439"/>
      <c r="CQ23" s="439"/>
      <c r="CR23" s="439"/>
      <c r="CS23" s="439"/>
      <c r="CT23" s="439"/>
      <c r="CU23" s="439"/>
      <c r="CV23" s="439"/>
      <c r="CW23" s="439"/>
      <c r="CX23" s="439"/>
      <c r="CY23" s="439"/>
      <c r="CZ23" s="439"/>
      <c r="DA23" s="439"/>
      <c r="DB23" s="439"/>
      <c r="DC23" s="439"/>
      <c r="DD23" s="439"/>
      <c r="DE23" s="439"/>
      <c r="DF23" s="439"/>
      <c r="DG23" s="439"/>
      <c r="DH23" s="439"/>
      <c r="DI23" s="439"/>
      <c r="DJ23" s="439"/>
      <c r="DK23" s="439"/>
      <c r="DL23" s="439"/>
      <c r="DM23" s="439"/>
      <c r="DN23" s="439"/>
      <c r="DO23" s="439"/>
      <c r="DP23" s="439"/>
      <c r="DQ23" s="439"/>
      <c r="DR23" s="439"/>
      <c r="DS23" s="439"/>
      <c r="DT23" s="439"/>
      <c r="DU23" s="439"/>
      <c r="DV23" s="439"/>
      <c r="DW23" s="439"/>
      <c r="DX23" s="439"/>
      <c r="DY23" s="439"/>
      <c r="DZ23" s="439"/>
      <c r="EA23" s="439"/>
      <c r="EB23" s="439"/>
      <c r="EC23" s="439"/>
      <c r="ED23" s="439"/>
      <c r="EE23" s="439"/>
      <c r="EF23" s="439"/>
      <c r="EG23" s="439"/>
      <c r="EH23" s="439"/>
      <c r="EI23" s="439"/>
      <c r="EJ23" s="439"/>
      <c r="EK23" s="439"/>
      <c r="EL23" s="439"/>
      <c r="EM23" s="439"/>
      <c r="EN23" s="439"/>
      <c r="EO23" s="439"/>
      <c r="EP23" s="439"/>
      <c r="EQ23" s="439"/>
      <c r="ER23" s="439"/>
      <c r="ES23" s="439"/>
      <c r="ET23" s="439"/>
      <c r="EU23" s="439"/>
      <c r="EV23" s="439"/>
      <c r="EW23" s="439"/>
      <c r="EX23" s="439"/>
      <c r="EY23" s="439"/>
      <c r="EZ23" s="439"/>
      <c r="FA23" s="439"/>
      <c r="FB23" s="439"/>
      <c r="FC23" s="439"/>
      <c r="FD23" s="439"/>
      <c r="FE23" s="439"/>
      <c r="FF23" s="439"/>
      <c r="FG23" s="439"/>
      <c r="FH23" s="439"/>
      <c r="FI23" s="439"/>
      <c r="FJ23" s="439"/>
      <c r="FK23" s="439"/>
      <c r="FL23" s="439"/>
      <c r="FM23" s="439"/>
      <c r="FN23" s="439"/>
      <c r="FO23" s="439"/>
      <c r="FP23" s="439"/>
      <c r="FQ23" s="439"/>
      <c r="FR23" s="439"/>
      <c r="FS23" s="439"/>
      <c r="FT23" s="439"/>
      <c r="FU23" s="439"/>
      <c r="FV23" s="439"/>
      <c r="FW23" s="439"/>
      <c r="FX23" s="439"/>
      <c r="FY23" s="439"/>
      <c r="FZ23" s="439"/>
      <c r="GA23" s="439"/>
      <c r="GB23" s="439"/>
      <c r="GC23" s="439"/>
      <c r="GD23" s="439"/>
      <c r="GE23" s="439"/>
      <c r="GF23" s="439"/>
      <c r="GG23" s="439"/>
      <c r="GH23" s="439"/>
      <c r="GI23" s="439"/>
      <c r="GJ23" s="439"/>
      <c r="GK23" s="439"/>
      <c r="GL23" s="439"/>
      <c r="GM23" s="439"/>
      <c r="GN23" s="439"/>
      <c r="GO23" s="439"/>
      <c r="GP23" s="439"/>
      <c r="GQ23" s="439"/>
      <c r="GR23" s="439"/>
      <c r="GS23" s="439"/>
      <c r="GT23" s="439"/>
      <c r="GU23" s="439"/>
      <c r="GV23" s="439"/>
      <c r="GW23" s="439"/>
      <c r="GX23" s="439"/>
      <c r="GY23" s="439"/>
      <c r="GZ23" s="439"/>
      <c r="HA23" s="439"/>
      <c r="HB23" s="439"/>
      <c r="HC23" s="439"/>
      <c r="HD23" s="439"/>
      <c r="HE23" s="439"/>
      <c r="HF23" s="439"/>
      <c r="HG23" s="439"/>
      <c r="HH23" s="439"/>
      <c r="HI23" s="439"/>
      <c r="HJ23" s="439"/>
      <c r="HK23" s="439"/>
      <c r="HL23" s="439"/>
      <c r="HM23" s="439"/>
      <c r="HN23" s="439"/>
      <c r="HO23" s="439"/>
      <c r="HP23" s="439"/>
      <c r="HQ23" s="439"/>
      <c r="HR23" s="439"/>
      <c r="HS23" s="439"/>
      <c r="HT23" s="439"/>
      <c r="HU23" s="439"/>
      <c r="HV23" s="439"/>
      <c r="HW23" s="439"/>
      <c r="HX23" s="439"/>
      <c r="HY23" s="439"/>
      <c r="HZ23" s="439"/>
      <c r="IA23" s="439"/>
      <c r="IB23" s="439"/>
      <c r="IC23" s="439"/>
      <c r="ID23" s="439"/>
      <c r="IE23" s="439"/>
      <c r="IF23" s="439"/>
      <c r="IG23" s="439"/>
      <c r="IH23" s="439"/>
      <c r="II23" s="439"/>
      <c r="IJ23" s="439"/>
      <c r="IK23" s="439"/>
      <c r="IL23" s="439"/>
      <c r="IM23" s="439"/>
      <c r="IN23" s="439"/>
      <c r="IO23" s="439"/>
      <c r="IP23" s="439"/>
      <c r="IQ23" s="439"/>
      <c r="IR23" s="439"/>
      <c r="IS23" s="439"/>
      <c r="IT23" s="439"/>
      <c r="IU23" s="439"/>
      <c r="IV23" s="439"/>
    </row>
    <row r="24" spans="1:256" ht="20.100000000000001" customHeight="1">
      <c r="A24" s="451" t="s">
        <v>458</v>
      </c>
      <c r="B24" s="452" t="s">
        <v>78</v>
      </c>
      <c r="C24" s="453"/>
      <c r="D24" s="453"/>
      <c r="E24" s="454">
        <f>SUM(E20:E23)</f>
        <v>29842616</v>
      </c>
      <c r="F24" s="455"/>
      <c r="G24" s="455"/>
      <c r="H24" s="455"/>
      <c r="I24" s="455"/>
      <c r="J24" s="455"/>
      <c r="K24" s="455"/>
      <c r="L24" s="457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  <c r="AA24" s="439"/>
      <c r="AB24" s="439"/>
      <c r="AC24" s="439"/>
      <c r="AD24" s="439"/>
      <c r="AE24" s="439"/>
      <c r="AF24" s="439"/>
      <c r="AG24" s="439"/>
      <c r="AH24" s="439"/>
      <c r="AI24" s="439"/>
      <c r="AJ24" s="439"/>
      <c r="AK24" s="439"/>
      <c r="AL24" s="439"/>
      <c r="AM24" s="439"/>
      <c r="AN24" s="439"/>
      <c r="AO24" s="439"/>
      <c r="AP24" s="439"/>
      <c r="AQ24" s="439"/>
      <c r="AR24" s="439"/>
      <c r="AS24" s="439"/>
      <c r="AT24" s="439"/>
      <c r="AU24" s="439"/>
      <c r="AV24" s="439"/>
      <c r="AW24" s="439"/>
      <c r="AX24" s="439"/>
      <c r="AY24" s="439"/>
      <c r="AZ24" s="439"/>
      <c r="BA24" s="439"/>
      <c r="BB24" s="439"/>
      <c r="BC24" s="439"/>
      <c r="BD24" s="439"/>
      <c r="BE24" s="439"/>
      <c r="BF24" s="439"/>
      <c r="BG24" s="439"/>
      <c r="BH24" s="439"/>
      <c r="BI24" s="439"/>
      <c r="BJ24" s="439"/>
      <c r="BK24" s="439"/>
      <c r="BL24" s="439"/>
      <c r="BM24" s="439"/>
      <c r="BN24" s="439"/>
      <c r="BO24" s="439"/>
      <c r="BP24" s="439"/>
      <c r="BQ24" s="439"/>
      <c r="BR24" s="439"/>
      <c r="BS24" s="439"/>
      <c r="BT24" s="439"/>
      <c r="BU24" s="439"/>
      <c r="BV24" s="439"/>
      <c r="BW24" s="439"/>
      <c r="BX24" s="439"/>
      <c r="BY24" s="439"/>
      <c r="BZ24" s="439"/>
      <c r="CA24" s="439"/>
      <c r="CB24" s="439"/>
      <c r="CC24" s="439"/>
      <c r="CD24" s="439"/>
      <c r="CE24" s="439"/>
      <c r="CF24" s="439"/>
      <c r="CG24" s="439"/>
      <c r="CH24" s="439"/>
      <c r="CI24" s="439"/>
      <c r="CJ24" s="439"/>
      <c r="CK24" s="439"/>
      <c r="CL24" s="439"/>
      <c r="CM24" s="439"/>
      <c r="CN24" s="439"/>
      <c r="CO24" s="439"/>
      <c r="CP24" s="439"/>
      <c r="CQ24" s="439"/>
      <c r="CR24" s="439"/>
      <c r="CS24" s="439"/>
      <c r="CT24" s="439"/>
      <c r="CU24" s="439"/>
      <c r="CV24" s="439"/>
      <c r="CW24" s="439"/>
      <c r="CX24" s="439"/>
      <c r="CY24" s="439"/>
      <c r="CZ24" s="439"/>
      <c r="DA24" s="439"/>
      <c r="DB24" s="439"/>
      <c r="DC24" s="439"/>
      <c r="DD24" s="439"/>
      <c r="DE24" s="439"/>
      <c r="DF24" s="439"/>
      <c r="DG24" s="439"/>
      <c r="DH24" s="439"/>
      <c r="DI24" s="439"/>
      <c r="DJ24" s="439"/>
      <c r="DK24" s="439"/>
      <c r="DL24" s="439"/>
      <c r="DM24" s="439"/>
      <c r="DN24" s="439"/>
      <c r="DO24" s="439"/>
      <c r="DP24" s="439"/>
      <c r="DQ24" s="439"/>
      <c r="DR24" s="439"/>
      <c r="DS24" s="439"/>
      <c r="DT24" s="439"/>
      <c r="DU24" s="439"/>
      <c r="DV24" s="439"/>
      <c r="DW24" s="439"/>
      <c r="DX24" s="439"/>
      <c r="DY24" s="439"/>
      <c r="DZ24" s="439"/>
      <c r="EA24" s="439"/>
      <c r="EB24" s="439"/>
      <c r="EC24" s="439"/>
      <c r="ED24" s="439"/>
      <c r="EE24" s="439"/>
      <c r="EF24" s="439"/>
      <c r="EG24" s="439"/>
      <c r="EH24" s="439"/>
      <c r="EI24" s="439"/>
      <c r="EJ24" s="439"/>
      <c r="EK24" s="439"/>
      <c r="EL24" s="439"/>
      <c r="EM24" s="439"/>
      <c r="EN24" s="439"/>
      <c r="EO24" s="439"/>
      <c r="EP24" s="439"/>
      <c r="EQ24" s="439"/>
      <c r="ER24" s="439"/>
      <c r="ES24" s="439"/>
      <c r="ET24" s="439"/>
      <c r="EU24" s="439"/>
      <c r="EV24" s="439"/>
      <c r="EW24" s="439"/>
      <c r="EX24" s="439"/>
      <c r="EY24" s="439"/>
      <c r="EZ24" s="439"/>
      <c r="FA24" s="439"/>
      <c r="FB24" s="439"/>
      <c r="FC24" s="439"/>
      <c r="FD24" s="439"/>
      <c r="FE24" s="439"/>
      <c r="FF24" s="439"/>
      <c r="FG24" s="439"/>
      <c r="FH24" s="439"/>
      <c r="FI24" s="439"/>
      <c r="FJ24" s="439"/>
      <c r="FK24" s="439"/>
      <c r="FL24" s="439"/>
      <c r="FM24" s="439"/>
      <c r="FN24" s="439"/>
      <c r="FO24" s="439"/>
      <c r="FP24" s="439"/>
      <c r="FQ24" s="439"/>
      <c r="FR24" s="439"/>
      <c r="FS24" s="439"/>
      <c r="FT24" s="439"/>
      <c r="FU24" s="439"/>
      <c r="FV24" s="439"/>
      <c r="FW24" s="439"/>
      <c r="FX24" s="439"/>
      <c r="FY24" s="439"/>
      <c r="FZ24" s="439"/>
      <c r="GA24" s="439"/>
      <c r="GB24" s="439"/>
      <c r="GC24" s="439"/>
      <c r="GD24" s="439"/>
      <c r="GE24" s="439"/>
      <c r="GF24" s="439"/>
      <c r="GG24" s="439"/>
      <c r="GH24" s="439"/>
      <c r="GI24" s="439"/>
      <c r="GJ24" s="439"/>
      <c r="GK24" s="439"/>
      <c r="GL24" s="439"/>
      <c r="GM24" s="439"/>
      <c r="GN24" s="439"/>
      <c r="GO24" s="439"/>
      <c r="GP24" s="439"/>
      <c r="GQ24" s="439"/>
      <c r="GR24" s="439"/>
      <c r="GS24" s="439"/>
      <c r="GT24" s="439"/>
      <c r="GU24" s="439"/>
      <c r="GV24" s="439"/>
      <c r="GW24" s="439"/>
      <c r="GX24" s="439"/>
      <c r="GY24" s="439"/>
      <c r="GZ24" s="439"/>
      <c r="HA24" s="439"/>
      <c r="HB24" s="439"/>
      <c r="HC24" s="439"/>
      <c r="HD24" s="439"/>
      <c r="HE24" s="439"/>
      <c r="HF24" s="439"/>
      <c r="HG24" s="439"/>
      <c r="HH24" s="439"/>
      <c r="HI24" s="439"/>
      <c r="HJ24" s="439"/>
      <c r="HK24" s="439"/>
      <c r="HL24" s="439"/>
      <c r="HM24" s="439"/>
      <c r="HN24" s="439"/>
      <c r="HO24" s="439"/>
      <c r="HP24" s="439"/>
      <c r="HQ24" s="439"/>
      <c r="HR24" s="439"/>
      <c r="HS24" s="439"/>
      <c r="HT24" s="439"/>
      <c r="HU24" s="439"/>
      <c r="HV24" s="439"/>
      <c r="HW24" s="439"/>
      <c r="HX24" s="439"/>
      <c r="HY24" s="439"/>
      <c r="HZ24" s="439"/>
      <c r="IA24" s="439"/>
      <c r="IB24" s="439"/>
      <c r="IC24" s="439"/>
      <c r="ID24" s="439"/>
      <c r="IE24" s="439"/>
      <c r="IF24" s="439"/>
      <c r="IG24" s="439"/>
      <c r="IH24" s="439"/>
      <c r="II24" s="439"/>
      <c r="IJ24" s="439"/>
      <c r="IK24" s="439"/>
      <c r="IL24" s="439"/>
      <c r="IM24" s="439"/>
      <c r="IN24" s="439"/>
      <c r="IO24" s="439"/>
      <c r="IP24" s="439"/>
      <c r="IQ24" s="439"/>
      <c r="IR24" s="439"/>
      <c r="IS24" s="439"/>
      <c r="IT24" s="439"/>
      <c r="IU24" s="439"/>
      <c r="IV24" s="439"/>
    </row>
    <row r="25" spans="1:256" ht="20.100000000000001" customHeight="1">
      <c r="A25" s="451" t="s">
        <v>461</v>
      </c>
      <c r="B25" s="460"/>
      <c r="C25" s="460"/>
      <c r="D25" s="460"/>
      <c r="E25" s="454">
        <f>INT(E24*0.1)</f>
        <v>2984261</v>
      </c>
      <c r="F25" s="455"/>
      <c r="G25" s="455"/>
      <c r="H25" s="455"/>
      <c r="I25" s="455"/>
      <c r="J25" s="455"/>
      <c r="K25" s="455"/>
      <c r="L25" s="457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39"/>
      <c r="AI25" s="439"/>
      <c r="AJ25" s="439"/>
      <c r="AK25" s="439"/>
      <c r="AL25" s="439"/>
      <c r="AM25" s="439"/>
      <c r="AN25" s="439"/>
      <c r="AO25" s="439"/>
      <c r="AP25" s="439"/>
      <c r="AQ25" s="439"/>
      <c r="AR25" s="439"/>
      <c r="AS25" s="439"/>
      <c r="AT25" s="439"/>
      <c r="AU25" s="439"/>
      <c r="AV25" s="439"/>
      <c r="AW25" s="439"/>
      <c r="AX25" s="439"/>
      <c r="AY25" s="439"/>
      <c r="AZ25" s="439"/>
      <c r="BA25" s="439"/>
      <c r="BB25" s="439"/>
      <c r="BC25" s="439"/>
      <c r="BD25" s="439"/>
      <c r="BE25" s="439"/>
      <c r="BF25" s="439"/>
      <c r="BG25" s="439"/>
      <c r="BH25" s="439"/>
      <c r="BI25" s="439"/>
      <c r="BJ25" s="439"/>
      <c r="BK25" s="439"/>
      <c r="BL25" s="439"/>
      <c r="BM25" s="439"/>
      <c r="BN25" s="439"/>
      <c r="BO25" s="439"/>
      <c r="BP25" s="439"/>
      <c r="BQ25" s="439"/>
      <c r="BR25" s="439"/>
      <c r="BS25" s="439"/>
      <c r="BT25" s="439"/>
      <c r="BU25" s="439"/>
      <c r="BV25" s="439"/>
      <c r="BW25" s="439"/>
      <c r="BX25" s="439"/>
      <c r="BY25" s="439"/>
      <c r="BZ25" s="439"/>
      <c r="CA25" s="439"/>
      <c r="CB25" s="439"/>
      <c r="CC25" s="439"/>
      <c r="CD25" s="439"/>
      <c r="CE25" s="439"/>
      <c r="CF25" s="439"/>
      <c r="CG25" s="439"/>
      <c r="CH25" s="439"/>
      <c r="CI25" s="439"/>
      <c r="CJ25" s="439"/>
      <c r="CK25" s="439"/>
      <c r="CL25" s="439"/>
      <c r="CM25" s="439"/>
      <c r="CN25" s="439"/>
      <c r="CO25" s="439"/>
      <c r="CP25" s="439"/>
      <c r="CQ25" s="439"/>
      <c r="CR25" s="439"/>
      <c r="CS25" s="439"/>
      <c r="CT25" s="439"/>
      <c r="CU25" s="439"/>
      <c r="CV25" s="439"/>
      <c r="CW25" s="439"/>
      <c r="CX25" s="439"/>
      <c r="CY25" s="439"/>
      <c r="CZ25" s="439"/>
      <c r="DA25" s="439"/>
      <c r="DB25" s="439"/>
      <c r="DC25" s="439"/>
      <c r="DD25" s="439"/>
      <c r="DE25" s="439"/>
      <c r="DF25" s="439"/>
      <c r="DG25" s="439"/>
      <c r="DH25" s="439"/>
      <c r="DI25" s="439"/>
      <c r="DJ25" s="439"/>
      <c r="DK25" s="439"/>
      <c r="DL25" s="439"/>
      <c r="DM25" s="439"/>
      <c r="DN25" s="439"/>
      <c r="DO25" s="439"/>
      <c r="DP25" s="439"/>
      <c r="DQ25" s="439"/>
      <c r="DR25" s="439"/>
      <c r="DS25" s="439"/>
      <c r="DT25" s="439"/>
      <c r="DU25" s="439"/>
      <c r="DV25" s="439"/>
      <c r="DW25" s="439"/>
      <c r="DX25" s="439"/>
      <c r="DY25" s="439"/>
      <c r="DZ25" s="439"/>
      <c r="EA25" s="439"/>
      <c r="EB25" s="439"/>
      <c r="EC25" s="439"/>
      <c r="ED25" s="439"/>
      <c r="EE25" s="439"/>
      <c r="EF25" s="439"/>
      <c r="EG25" s="439"/>
      <c r="EH25" s="439"/>
      <c r="EI25" s="439"/>
      <c r="EJ25" s="439"/>
      <c r="EK25" s="439"/>
      <c r="EL25" s="439"/>
      <c r="EM25" s="439"/>
      <c r="EN25" s="439"/>
      <c r="EO25" s="439"/>
      <c r="EP25" s="439"/>
      <c r="EQ25" s="439"/>
      <c r="ER25" s="439"/>
      <c r="ES25" s="439"/>
      <c r="ET25" s="439"/>
      <c r="EU25" s="439"/>
      <c r="EV25" s="439"/>
      <c r="EW25" s="439"/>
      <c r="EX25" s="439"/>
      <c r="EY25" s="439"/>
      <c r="EZ25" s="439"/>
      <c r="FA25" s="439"/>
      <c r="FB25" s="439"/>
      <c r="FC25" s="439"/>
      <c r="FD25" s="439"/>
      <c r="FE25" s="439"/>
      <c r="FF25" s="439"/>
      <c r="FG25" s="439"/>
      <c r="FH25" s="439"/>
      <c r="FI25" s="439"/>
      <c r="FJ25" s="439"/>
      <c r="FK25" s="439"/>
      <c r="FL25" s="439"/>
      <c r="FM25" s="439"/>
      <c r="FN25" s="439"/>
      <c r="FO25" s="439"/>
      <c r="FP25" s="439"/>
      <c r="FQ25" s="439"/>
      <c r="FR25" s="439"/>
      <c r="FS25" s="439"/>
      <c r="FT25" s="439"/>
      <c r="FU25" s="439"/>
      <c r="FV25" s="439"/>
      <c r="FW25" s="439"/>
      <c r="FX25" s="439"/>
      <c r="FY25" s="439"/>
      <c r="FZ25" s="439"/>
      <c r="GA25" s="439"/>
      <c r="GB25" s="439"/>
      <c r="GC25" s="439"/>
      <c r="GD25" s="439"/>
      <c r="GE25" s="439"/>
      <c r="GF25" s="439"/>
      <c r="GG25" s="439"/>
      <c r="GH25" s="439"/>
      <c r="GI25" s="439"/>
      <c r="GJ25" s="439"/>
      <c r="GK25" s="439"/>
      <c r="GL25" s="439"/>
      <c r="GM25" s="439"/>
      <c r="GN25" s="439"/>
      <c r="GO25" s="439"/>
      <c r="GP25" s="439"/>
      <c r="GQ25" s="439"/>
      <c r="GR25" s="439"/>
      <c r="GS25" s="439"/>
      <c r="GT25" s="439"/>
      <c r="GU25" s="439"/>
      <c r="GV25" s="439"/>
      <c r="GW25" s="439"/>
      <c r="GX25" s="439"/>
      <c r="GY25" s="439"/>
      <c r="GZ25" s="439"/>
      <c r="HA25" s="439"/>
      <c r="HB25" s="439"/>
      <c r="HC25" s="439"/>
      <c r="HD25" s="439"/>
      <c r="HE25" s="439"/>
      <c r="HF25" s="439"/>
      <c r="HG25" s="439"/>
      <c r="HH25" s="439"/>
      <c r="HI25" s="439"/>
      <c r="HJ25" s="439"/>
      <c r="HK25" s="439"/>
      <c r="HL25" s="439"/>
      <c r="HM25" s="439"/>
      <c r="HN25" s="439"/>
      <c r="HO25" s="439"/>
      <c r="HP25" s="439"/>
      <c r="HQ25" s="439"/>
      <c r="HR25" s="439"/>
      <c r="HS25" s="439"/>
      <c r="HT25" s="439"/>
      <c r="HU25" s="439"/>
      <c r="HV25" s="439"/>
      <c r="HW25" s="439"/>
      <c r="HX25" s="439"/>
      <c r="HY25" s="439"/>
      <c r="HZ25" s="439"/>
      <c r="IA25" s="439"/>
      <c r="IB25" s="439"/>
      <c r="IC25" s="439"/>
      <c r="ID25" s="439"/>
      <c r="IE25" s="439"/>
      <c r="IF25" s="439"/>
      <c r="IG25" s="439"/>
      <c r="IH25" s="439"/>
      <c r="II25" s="439"/>
      <c r="IJ25" s="439"/>
      <c r="IK25" s="439"/>
      <c r="IL25" s="439"/>
      <c r="IM25" s="439"/>
      <c r="IN25" s="439"/>
      <c r="IO25" s="439"/>
      <c r="IP25" s="439"/>
      <c r="IQ25" s="439"/>
      <c r="IR25" s="439"/>
      <c r="IS25" s="439"/>
      <c r="IT25" s="439"/>
      <c r="IU25" s="439"/>
      <c r="IV25" s="439"/>
    </row>
    <row r="26" spans="1:256" ht="20.100000000000001" customHeight="1">
      <c r="A26" s="451" t="s">
        <v>462</v>
      </c>
      <c r="B26" s="460"/>
      <c r="C26" s="460"/>
      <c r="D26" s="460"/>
      <c r="E26" s="454">
        <f>SUM(E24:E25)</f>
        <v>32826877</v>
      </c>
      <c r="F26" s="455"/>
      <c r="G26" s="455"/>
      <c r="H26" s="455"/>
      <c r="I26" s="455"/>
      <c r="J26" s="455"/>
      <c r="K26" s="455"/>
      <c r="L26" s="457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39"/>
      <c r="AL26" s="439"/>
      <c r="AM26" s="439"/>
      <c r="AN26" s="439"/>
      <c r="AO26" s="439"/>
      <c r="AP26" s="439"/>
      <c r="AQ26" s="439"/>
      <c r="AR26" s="439"/>
      <c r="AS26" s="439"/>
      <c r="AT26" s="439"/>
      <c r="AU26" s="439"/>
      <c r="AV26" s="439"/>
      <c r="AW26" s="439"/>
      <c r="AX26" s="439"/>
      <c r="AY26" s="439"/>
      <c r="AZ26" s="439"/>
      <c r="BA26" s="439"/>
      <c r="BB26" s="439"/>
      <c r="BC26" s="439"/>
      <c r="BD26" s="439"/>
      <c r="BE26" s="439"/>
      <c r="BF26" s="439"/>
      <c r="BG26" s="439"/>
      <c r="BH26" s="439"/>
      <c r="BI26" s="439"/>
      <c r="BJ26" s="439"/>
      <c r="BK26" s="439"/>
      <c r="BL26" s="439"/>
      <c r="BM26" s="439"/>
      <c r="BN26" s="439"/>
      <c r="BO26" s="439"/>
      <c r="BP26" s="439"/>
      <c r="BQ26" s="439"/>
      <c r="BR26" s="439"/>
      <c r="BS26" s="439"/>
      <c r="BT26" s="439"/>
      <c r="BU26" s="439"/>
      <c r="BV26" s="439"/>
      <c r="BW26" s="439"/>
      <c r="BX26" s="439"/>
      <c r="BY26" s="439"/>
      <c r="BZ26" s="439"/>
      <c r="CA26" s="439"/>
      <c r="CB26" s="439"/>
      <c r="CC26" s="439"/>
      <c r="CD26" s="439"/>
      <c r="CE26" s="439"/>
      <c r="CF26" s="439"/>
      <c r="CG26" s="439"/>
      <c r="CH26" s="439"/>
      <c r="CI26" s="439"/>
      <c r="CJ26" s="439"/>
      <c r="CK26" s="439"/>
      <c r="CL26" s="439"/>
      <c r="CM26" s="439"/>
      <c r="CN26" s="439"/>
      <c r="CO26" s="439"/>
      <c r="CP26" s="439"/>
      <c r="CQ26" s="439"/>
      <c r="CR26" s="439"/>
      <c r="CS26" s="439"/>
      <c r="CT26" s="439"/>
      <c r="CU26" s="439"/>
      <c r="CV26" s="439"/>
      <c r="CW26" s="439"/>
      <c r="CX26" s="439"/>
      <c r="CY26" s="439"/>
      <c r="CZ26" s="439"/>
      <c r="DA26" s="439"/>
      <c r="DB26" s="439"/>
      <c r="DC26" s="439"/>
      <c r="DD26" s="439"/>
      <c r="DE26" s="439"/>
      <c r="DF26" s="439"/>
      <c r="DG26" s="439"/>
      <c r="DH26" s="439"/>
      <c r="DI26" s="439"/>
      <c r="DJ26" s="439"/>
      <c r="DK26" s="439"/>
      <c r="DL26" s="439"/>
      <c r="DM26" s="439"/>
      <c r="DN26" s="439"/>
      <c r="DO26" s="439"/>
      <c r="DP26" s="439"/>
      <c r="DQ26" s="439"/>
      <c r="DR26" s="439"/>
      <c r="DS26" s="439"/>
      <c r="DT26" s="439"/>
      <c r="DU26" s="439"/>
      <c r="DV26" s="439"/>
      <c r="DW26" s="439"/>
      <c r="DX26" s="439"/>
      <c r="DY26" s="439"/>
      <c r="DZ26" s="439"/>
      <c r="EA26" s="439"/>
      <c r="EB26" s="439"/>
      <c r="EC26" s="439"/>
      <c r="ED26" s="439"/>
      <c r="EE26" s="439"/>
      <c r="EF26" s="439"/>
      <c r="EG26" s="439"/>
      <c r="EH26" s="439"/>
      <c r="EI26" s="439"/>
      <c r="EJ26" s="439"/>
      <c r="EK26" s="439"/>
      <c r="EL26" s="439"/>
      <c r="EM26" s="439"/>
      <c r="EN26" s="439"/>
      <c r="EO26" s="439"/>
      <c r="EP26" s="439"/>
      <c r="EQ26" s="439"/>
      <c r="ER26" s="439"/>
      <c r="ES26" s="439"/>
      <c r="ET26" s="439"/>
      <c r="EU26" s="439"/>
      <c r="EV26" s="439"/>
      <c r="EW26" s="439"/>
      <c r="EX26" s="439"/>
      <c r="EY26" s="439"/>
      <c r="EZ26" s="439"/>
      <c r="FA26" s="439"/>
      <c r="FB26" s="439"/>
      <c r="FC26" s="439"/>
      <c r="FD26" s="439"/>
      <c r="FE26" s="439"/>
      <c r="FF26" s="439"/>
      <c r="FG26" s="439"/>
      <c r="FH26" s="439"/>
      <c r="FI26" s="439"/>
      <c r="FJ26" s="439"/>
      <c r="FK26" s="439"/>
      <c r="FL26" s="439"/>
      <c r="FM26" s="439"/>
      <c r="FN26" s="439"/>
      <c r="FO26" s="439"/>
      <c r="FP26" s="439"/>
      <c r="FQ26" s="439"/>
      <c r="FR26" s="439"/>
      <c r="FS26" s="439"/>
      <c r="FT26" s="439"/>
      <c r="FU26" s="439"/>
      <c r="FV26" s="439"/>
      <c r="FW26" s="439"/>
      <c r="FX26" s="439"/>
      <c r="FY26" s="439"/>
      <c r="FZ26" s="439"/>
      <c r="GA26" s="439"/>
      <c r="GB26" s="439"/>
      <c r="GC26" s="439"/>
      <c r="GD26" s="439"/>
      <c r="GE26" s="439"/>
      <c r="GF26" s="439"/>
      <c r="GG26" s="439"/>
      <c r="GH26" s="439"/>
      <c r="GI26" s="439"/>
      <c r="GJ26" s="439"/>
      <c r="GK26" s="439"/>
      <c r="GL26" s="439"/>
      <c r="GM26" s="439"/>
      <c r="GN26" s="439"/>
      <c r="GO26" s="439"/>
      <c r="GP26" s="439"/>
      <c r="GQ26" s="439"/>
      <c r="GR26" s="439"/>
      <c r="GS26" s="439"/>
      <c r="GT26" s="439"/>
      <c r="GU26" s="439"/>
      <c r="GV26" s="439"/>
      <c r="GW26" s="439"/>
      <c r="GX26" s="439"/>
      <c r="GY26" s="439"/>
      <c r="GZ26" s="439"/>
      <c r="HA26" s="439"/>
      <c r="HB26" s="439"/>
      <c r="HC26" s="439"/>
      <c r="HD26" s="439"/>
      <c r="HE26" s="439"/>
      <c r="HF26" s="439"/>
      <c r="HG26" s="439"/>
      <c r="HH26" s="439"/>
      <c r="HI26" s="439"/>
      <c r="HJ26" s="439"/>
      <c r="HK26" s="439"/>
      <c r="HL26" s="439"/>
      <c r="HM26" s="439"/>
      <c r="HN26" s="439"/>
      <c r="HO26" s="439"/>
      <c r="HP26" s="439"/>
      <c r="HQ26" s="439"/>
      <c r="HR26" s="439"/>
      <c r="HS26" s="439"/>
      <c r="HT26" s="439"/>
      <c r="HU26" s="439"/>
      <c r="HV26" s="439"/>
      <c r="HW26" s="439"/>
      <c r="HX26" s="439"/>
      <c r="HY26" s="439"/>
      <c r="HZ26" s="439"/>
      <c r="IA26" s="439"/>
      <c r="IB26" s="439"/>
      <c r="IC26" s="439"/>
      <c r="ID26" s="439"/>
      <c r="IE26" s="439"/>
      <c r="IF26" s="439"/>
      <c r="IG26" s="439"/>
      <c r="IH26" s="439"/>
      <c r="II26" s="439"/>
      <c r="IJ26" s="439"/>
      <c r="IK26" s="439"/>
      <c r="IL26" s="439"/>
      <c r="IM26" s="439"/>
      <c r="IN26" s="439"/>
      <c r="IO26" s="439"/>
      <c r="IP26" s="439"/>
      <c r="IQ26" s="439"/>
      <c r="IR26" s="439"/>
      <c r="IS26" s="439"/>
      <c r="IT26" s="439"/>
      <c r="IU26" s="439"/>
      <c r="IV26" s="439"/>
    </row>
    <row r="27" spans="1:256" ht="20.100000000000001" customHeight="1">
      <c r="A27" s="461"/>
      <c r="B27" s="462"/>
      <c r="C27" s="462"/>
      <c r="D27" s="462"/>
      <c r="E27" s="463"/>
      <c r="F27" s="464"/>
      <c r="G27" s="464"/>
      <c r="H27" s="464"/>
      <c r="I27" s="464"/>
      <c r="J27" s="464"/>
      <c r="K27" s="464"/>
      <c r="L27" s="465"/>
    </row>
    <row r="28" spans="1:256" ht="20.100000000000001" customHeight="1">
      <c r="A28" s="466" t="s">
        <v>463</v>
      </c>
      <c r="B28" s="467" t="s">
        <v>481</v>
      </c>
      <c r="C28" s="462" t="s">
        <v>464</v>
      </c>
      <c r="D28" s="462">
        <v>88.391999999999996</v>
      </c>
      <c r="E28" s="463">
        <f>TRUNC(E6*D28%,)</f>
        <v>15313093</v>
      </c>
      <c r="F28" s="464"/>
      <c r="G28" s="464"/>
      <c r="H28" s="464"/>
      <c r="I28" s="464"/>
      <c r="J28" s="464"/>
      <c r="K28" s="464"/>
      <c r="L28" s="465"/>
    </row>
    <row r="29" spans="1:256" ht="20.100000000000001" customHeight="1">
      <c r="A29" s="466" t="s">
        <v>465</v>
      </c>
      <c r="B29" s="467" t="s">
        <v>481</v>
      </c>
      <c r="C29" s="462" t="s">
        <v>464</v>
      </c>
      <c r="D29" s="462">
        <v>90</v>
      </c>
      <c r="E29" s="463">
        <f>TRUNC(E28*D29%,)</f>
        <v>13781783</v>
      </c>
      <c r="F29" s="464"/>
      <c r="G29" s="464"/>
      <c r="H29" s="464"/>
      <c r="I29" s="464"/>
      <c r="J29" s="464"/>
      <c r="K29" s="464"/>
      <c r="L29" s="465"/>
    </row>
    <row r="30" spans="1:256" ht="20.100000000000001" customHeight="1">
      <c r="A30" s="461"/>
      <c r="B30" s="462"/>
      <c r="C30" s="462"/>
      <c r="D30" s="462"/>
      <c r="E30" s="463"/>
      <c r="F30" s="464"/>
      <c r="G30" s="464"/>
      <c r="H30" s="464"/>
      <c r="I30" s="464"/>
      <c r="J30" s="464"/>
      <c r="K30" s="464"/>
      <c r="L30" s="465"/>
    </row>
    <row r="31" spans="1:256" ht="20.100000000000001" customHeight="1">
      <c r="A31" s="468"/>
      <c r="B31" s="469"/>
      <c r="C31" s="469"/>
      <c r="D31" s="469"/>
      <c r="E31" s="470"/>
      <c r="F31" s="470"/>
      <c r="G31" s="470"/>
      <c r="H31" s="470"/>
      <c r="I31" s="470"/>
      <c r="J31" s="470"/>
      <c r="K31" s="470"/>
      <c r="L31" s="471"/>
    </row>
  </sheetData>
  <mergeCells count="8">
    <mergeCell ref="J3:K3"/>
    <mergeCell ref="L3:L4"/>
    <mergeCell ref="A3:A4"/>
    <mergeCell ref="B3:B4"/>
    <mergeCell ref="C3:C4"/>
    <mergeCell ref="D3:D4"/>
    <mergeCell ref="F3:G3"/>
    <mergeCell ref="H3:I3"/>
  </mergeCells>
  <phoneticPr fontId="2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50"/>
  <sheetViews>
    <sheetView zoomScaleNormal="100" zoomScaleSheetLayoutView="100" workbookViewId="0">
      <pane ySplit="5" topLeftCell="A6" activePane="bottomLeft" state="frozen"/>
      <selection sqref="A1:IV65536"/>
      <selection pane="bottomLeft" activeCell="D11" sqref="D11"/>
    </sheetView>
  </sheetViews>
  <sheetFormatPr defaultColWidth="9.140625" defaultRowHeight="13.5"/>
  <cols>
    <col min="1" max="1" width="0.5703125" style="404" customWidth="1"/>
    <col min="2" max="2" width="4.5703125" style="404" customWidth="1"/>
    <col min="3" max="3" width="22.85546875" style="404" bestFit="1" customWidth="1"/>
    <col min="4" max="4" width="16" style="404" customWidth="1"/>
    <col min="5" max="5" width="6.42578125" style="404" customWidth="1"/>
    <col min="6" max="6" width="4.140625" style="404" customWidth="1"/>
    <col min="7" max="7" width="12.42578125" style="404" bestFit="1" customWidth="1"/>
    <col min="8" max="8" width="14.140625" style="404" bestFit="1" customWidth="1"/>
    <col min="9" max="9" width="10.42578125" style="404" customWidth="1"/>
    <col min="10" max="10" width="14.140625" style="404" bestFit="1" customWidth="1"/>
    <col min="11" max="11" width="12.42578125" style="404" bestFit="1" customWidth="1"/>
    <col min="12" max="12" width="14.140625" style="404" bestFit="1" customWidth="1"/>
    <col min="13" max="13" width="10.42578125" style="404" customWidth="1"/>
    <col min="14" max="14" width="13" style="404" bestFit="1" customWidth="1"/>
    <col min="15" max="15" width="10.42578125" style="435" bestFit="1" customWidth="1"/>
    <col min="16" max="16384" width="9.140625" style="404"/>
  </cols>
  <sheetData>
    <row r="1" spans="2:15" ht="24.95" customHeight="1">
      <c r="B1" s="504" t="s">
        <v>11</v>
      </c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</row>
    <row r="2" spans="2:15" ht="9.9499999999999993" customHeight="1"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</row>
    <row r="3" spans="2:15" s="405" customFormat="1" ht="20.100000000000001" customHeight="1">
      <c r="B3" s="405" t="str">
        <f>총괄내역서!A2</f>
        <v>공사명 : 고천동 고고리길 도로개설공사 중 대형목 벌목공사</v>
      </c>
    </row>
    <row r="4" spans="2:15" ht="15.6" customHeight="1">
      <c r="B4" s="506" t="s">
        <v>77</v>
      </c>
      <c r="C4" s="508" t="s">
        <v>45</v>
      </c>
      <c r="D4" s="508" t="s">
        <v>57</v>
      </c>
      <c r="E4" s="508" t="s">
        <v>4</v>
      </c>
      <c r="F4" s="508" t="s">
        <v>29</v>
      </c>
      <c r="G4" s="510" t="s">
        <v>72</v>
      </c>
      <c r="H4" s="511"/>
      <c r="I4" s="510" t="s">
        <v>62</v>
      </c>
      <c r="J4" s="511"/>
      <c r="K4" s="510" t="s">
        <v>41</v>
      </c>
      <c r="L4" s="511"/>
      <c r="M4" s="510" t="s">
        <v>7</v>
      </c>
      <c r="N4" s="511"/>
      <c r="O4" s="502" t="s">
        <v>21</v>
      </c>
    </row>
    <row r="5" spans="2:15" ht="19.7" customHeight="1">
      <c r="B5" s="507"/>
      <c r="C5" s="509"/>
      <c r="D5" s="509"/>
      <c r="E5" s="509"/>
      <c r="F5" s="509"/>
      <c r="G5" s="406" t="s">
        <v>0</v>
      </c>
      <c r="H5" s="407" t="s">
        <v>37</v>
      </c>
      <c r="I5" s="406" t="s">
        <v>0</v>
      </c>
      <c r="J5" s="407" t="s">
        <v>37</v>
      </c>
      <c r="K5" s="406" t="s">
        <v>0</v>
      </c>
      <c r="L5" s="407" t="s">
        <v>37</v>
      </c>
      <c r="M5" s="406" t="s">
        <v>0</v>
      </c>
      <c r="N5" s="407" t="s">
        <v>37</v>
      </c>
      <c r="O5" s="503"/>
    </row>
    <row r="6" spans="2:15" s="408" customFormat="1" ht="19.7" customHeight="1">
      <c r="B6" s="409" t="s">
        <v>35</v>
      </c>
      <c r="C6" s="410" t="s">
        <v>79</v>
      </c>
      <c r="D6" s="410" t="s">
        <v>78</v>
      </c>
      <c r="E6" s="411"/>
      <c r="F6" s="412" t="s">
        <v>78</v>
      </c>
      <c r="G6" s="413"/>
      <c r="H6" s="411">
        <f>SUM(H7:H17)</f>
        <v>16229688</v>
      </c>
      <c r="I6" s="413"/>
      <c r="J6" s="411">
        <f>SUM(J7:J17)</f>
        <v>15812623</v>
      </c>
      <c r="K6" s="413"/>
      <c r="L6" s="411">
        <f>SUM(L7:L17)</f>
        <v>343654</v>
      </c>
      <c r="M6" s="413"/>
      <c r="N6" s="411">
        <f>SUM(N7:N17)</f>
        <v>73411</v>
      </c>
      <c r="O6" s="414" t="s">
        <v>78</v>
      </c>
    </row>
    <row r="7" spans="2:15" s="415" customFormat="1" ht="19.7" customHeight="1">
      <c r="B7" s="416"/>
      <c r="C7" s="417" t="s">
        <v>204</v>
      </c>
      <c r="D7" s="417" t="s">
        <v>176</v>
      </c>
      <c r="E7" s="418">
        <v>1</v>
      </c>
      <c r="F7" s="419" t="s">
        <v>80</v>
      </c>
      <c r="G7" s="420">
        <f t="shared" ref="G7:H11" si="0">I7+K7+M7</f>
        <v>458797</v>
      </c>
      <c r="H7" s="420">
        <f t="shared" si="0"/>
        <v>458797</v>
      </c>
      <c r="I7" s="420">
        <f>일위대가총괄표!G5</f>
        <v>447386</v>
      </c>
      <c r="J7" s="418">
        <f t="shared" ref="J7:J17" si="1">TRUNC(E7*I7,0)</f>
        <v>447386</v>
      </c>
      <c r="K7" s="420">
        <f>일위대가총괄표!H5</f>
        <v>9402</v>
      </c>
      <c r="L7" s="418">
        <f t="shared" ref="L7:L17" si="2">TRUNC(E7*K7,0)</f>
        <v>9402</v>
      </c>
      <c r="M7" s="420">
        <f>일위대가총괄표!I5</f>
        <v>2009</v>
      </c>
      <c r="N7" s="418">
        <f t="shared" ref="N7:N17" si="3">TRUNC(E7*M7,0)</f>
        <v>2009</v>
      </c>
      <c r="O7" s="421"/>
    </row>
    <row r="8" spans="2:15" s="415" customFormat="1" ht="19.7" customHeight="1">
      <c r="B8" s="416"/>
      <c r="C8" s="417" t="s">
        <v>205</v>
      </c>
      <c r="D8" s="417" t="s">
        <v>177</v>
      </c>
      <c r="E8" s="418">
        <v>1</v>
      </c>
      <c r="F8" s="419" t="s">
        <v>81</v>
      </c>
      <c r="G8" s="420">
        <f t="shared" si="0"/>
        <v>604184</v>
      </c>
      <c r="H8" s="420">
        <f t="shared" si="0"/>
        <v>604184</v>
      </c>
      <c r="I8" s="420">
        <f>일위대가총괄표!G6</f>
        <v>588924</v>
      </c>
      <c r="J8" s="418">
        <f t="shared" si="1"/>
        <v>588924</v>
      </c>
      <c r="K8" s="420">
        <f>일위대가총괄표!H6</f>
        <v>12574</v>
      </c>
      <c r="L8" s="418">
        <f t="shared" si="2"/>
        <v>12574</v>
      </c>
      <c r="M8" s="420">
        <f>일위대가총괄표!I6</f>
        <v>2686</v>
      </c>
      <c r="N8" s="418">
        <f t="shared" si="3"/>
        <v>2686</v>
      </c>
      <c r="O8" s="421"/>
    </row>
    <row r="9" spans="2:15" s="415" customFormat="1" ht="19.7" customHeight="1">
      <c r="B9" s="416"/>
      <c r="C9" s="417" t="s">
        <v>206</v>
      </c>
      <c r="D9" s="417" t="s">
        <v>178</v>
      </c>
      <c r="E9" s="418">
        <v>1</v>
      </c>
      <c r="F9" s="419" t="s">
        <v>81</v>
      </c>
      <c r="G9" s="420">
        <f t="shared" si="0"/>
        <v>875880</v>
      </c>
      <c r="H9" s="420">
        <f t="shared" si="0"/>
        <v>875880</v>
      </c>
      <c r="I9" s="420">
        <f>일위대가총괄표!G7</f>
        <v>853404</v>
      </c>
      <c r="J9" s="418">
        <f t="shared" si="1"/>
        <v>853404</v>
      </c>
      <c r="K9" s="420">
        <f>일위대가총괄표!H7</f>
        <v>18520</v>
      </c>
      <c r="L9" s="418">
        <f t="shared" si="2"/>
        <v>18520</v>
      </c>
      <c r="M9" s="420">
        <f>일위대가총괄표!I7</f>
        <v>3956</v>
      </c>
      <c r="N9" s="418">
        <f t="shared" si="3"/>
        <v>3956</v>
      </c>
      <c r="O9" s="421"/>
    </row>
    <row r="10" spans="2:15" s="415" customFormat="1" ht="19.7" customHeight="1">
      <c r="B10" s="416"/>
      <c r="C10" s="417" t="s">
        <v>206</v>
      </c>
      <c r="D10" s="417" t="s">
        <v>179</v>
      </c>
      <c r="E10" s="418">
        <v>1</v>
      </c>
      <c r="F10" s="419" t="s">
        <v>81</v>
      </c>
      <c r="G10" s="420">
        <f t="shared" si="0"/>
        <v>3342261</v>
      </c>
      <c r="H10" s="420">
        <f t="shared" si="0"/>
        <v>3342261</v>
      </c>
      <c r="I10" s="420">
        <f>일위대가총괄표!G11</f>
        <v>3254998</v>
      </c>
      <c r="J10" s="418">
        <f t="shared" si="1"/>
        <v>3254998</v>
      </c>
      <c r="K10" s="420">
        <f>일위대가총괄표!H11</f>
        <v>71903</v>
      </c>
      <c r="L10" s="418">
        <f t="shared" si="2"/>
        <v>71903</v>
      </c>
      <c r="M10" s="420">
        <f>일위대가총괄표!I11</f>
        <v>15360</v>
      </c>
      <c r="N10" s="418">
        <f t="shared" si="3"/>
        <v>15360</v>
      </c>
      <c r="O10" s="421"/>
    </row>
    <row r="11" spans="2:15" s="415" customFormat="1" ht="19.7" customHeight="1">
      <c r="B11" s="416"/>
      <c r="C11" s="417" t="s">
        <v>206</v>
      </c>
      <c r="D11" s="417" t="s">
        <v>180</v>
      </c>
      <c r="E11" s="418">
        <v>1</v>
      </c>
      <c r="F11" s="419" t="s">
        <v>81</v>
      </c>
      <c r="G11" s="420">
        <f t="shared" si="0"/>
        <v>3771888</v>
      </c>
      <c r="H11" s="420">
        <f t="shared" si="0"/>
        <v>3771888</v>
      </c>
      <c r="I11" s="420">
        <f>일위대가총괄표!G12</f>
        <v>3673408</v>
      </c>
      <c r="J11" s="418">
        <f t="shared" si="1"/>
        <v>3673408</v>
      </c>
      <c r="K11" s="420">
        <f>일위대가총괄표!H12</f>
        <v>81146</v>
      </c>
      <c r="L11" s="418">
        <f t="shared" si="2"/>
        <v>81146</v>
      </c>
      <c r="M11" s="420">
        <f>일위대가총괄표!I12</f>
        <v>17334</v>
      </c>
      <c r="N11" s="418">
        <f t="shared" si="3"/>
        <v>17334</v>
      </c>
      <c r="O11" s="421"/>
    </row>
    <row r="12" spans="2:15" s="415" customFormat="1" ht="19.7" customHeight="1">
      <c r="B12" s="416"/>
      <c r="C12" s="417" t="s">
        <v>207</v>
      </c>
      <c r="D12" s="417" t="s">
        <v>199</v>
      </c>
      <c r="E12" s="418">
        <v>1</v>
      </c>
      <c r="F12" s="419" t="s">
        <v>80</v>
      </c>
      <c r="G12" s="420">
        <f t="shared" ref="G12:H17" si="4">I12+K12+M12</f>
        <v>224645</v>
      </c>
      <c r="H12" s="420">
        <f t="shared" si="4"/>
        <v>224645</v>
      </c>
      <c r="I12" s="420">
        <f>일위대가총괄표!G13</f>
        <v>220055</v>
      </c>
      <c r="J12" s="418">
        <f t="shared" si="1"/>
        <v>220055</v>
      </c>
      <c r="K12" s="420">
        <f>일위대가총괄표!H13</f>
        <v>3782</v>
      </c>
      <c r="L12" s="418">
        <f t="shared" si="2"/>
        <v>3782</v>
      </c>
      <c r="M12" s="420">
        <f>일위대가총괄표!I13</f>
        <v>808</v>
      </c>
      <c r="N12" s="418">
        <f t="shared" si="3"/>
        <v>808</v>
      </c>
      <c r="O12" s="421"/>
    </row>
    <row r="13" spans="2:15" s="415" customFormat="1" ht="19.7" customHeight="1">
      <c r="B13" s="416"/>
      <c r="C13" s="417" t="s">
        <v>208</v>
      </c>
      <c r="D13" s="417" t="s">
        <v>200</v>
      </c>
      <c r="E13" s="418">
        <v>3</v>
      </c>
      <c r="F13" s="419" t="s">
        <v>80</v>
      </c>
      <c r="G13" s="420">
        <f t="shared" si="4"/>
        <v>604184</v>
      </c>
      <c r="H13" s="420">
        <f t="shared" si="4"/>
        <v>1812552</v>
      </c>
      <c r="I13" s="420">
        <f>일위대가총괄표!G6</f>
        <v>588924</v>
      </c>
      <c r="J13" s="418">
        <f t="shared" si="1"/>
        <v>1766772</v>
      </c>
      <c r="K13" s="420">
        <f>일위대가총괄표!H6</f>
        <v>12574</v>
      </c>
      <c r="L13" s="418">
        <f t="shared" si="2"/>
        <v>37722</v>
      </c>
      <c r="M13" s="420">
        <f>일위대가총괄표!I6</f>
        <v>2686</v>
      </c>
      <c r="N13" s="418">
        <f t="shared" si="3"/>
        <v>8058</v>
      </c>
      <c r="O13" s="421"/>
    </row>
    <row r="14" spans="2:15" s="415" customFormat="1" ht="19.7" customHeight="1">
      <c r="B14" s="416"/>
      <c r="C14" s="417" t="s">
        <v>207</v>
      </c>
      <c r="D14" s="417" t="s">
        <v>201</v>
      </c>
      <c r="E14" s="418">
        <v>1</v>
      </c>
      <c r="F14" s="419" t="s">
        <v>80</v>
      </c>
      <c r="G14" s="420">
        <f t="shared" si="4"/>
        <v>875880</v>
      </c>
      <c r="H14" s="420">
        <f t="shared" si="4"/>
        <v>875880</v>
      </c>
      <c r="I14" s="420">
        <f>일위대가총괄표!G7</f>
        <v>853404</v>
      </c>
      <c r="J14" s="418">
        <f t="shared" si="1"/>
        <v>853404</v>
      </c>
      <c r="K14" s="420">
        <f>일위대가총괄표!H7</f>
        <v>18520</v>
      </c>
      <c r="L14" s="418">
        <f t="shared" si="2"/>
        <v>18520</v>
      </c>
      <c r="M14" s="420">
        <f>일위대가총괄표!I7</f>
        <v>3956</v>
      </c>
      <c r="N14" s="418">
        <f t="shared" si="3"/>
        <v>3956</v>
      </c>
      <c r="O14" s="421"/>
    </row>
    <row r="15" spans="2:15" s="415" customFormat="1" ht="19.7" customHeight="1">
      <c r="B15" s="416"/>
      <c r="C15" s="417" t="s">
        <v>207</v>
      </c>
      <c r="D15" s="417" t="s">
        <v>202</v>
      </c>
      <c r="E15" s="418">
        <v>1</v>
      </c>
      <c r="F15" s="419" t="s">
        <v>80</v>
      </c>
      <c r="G15" s="420">
        <f t="shared" si="4"/>
        <v>3342261</v>
      </c>
      <c r="H15" s="420">
        <f t="shared" si="4"/>
        <v>3342261</v>
      </c>
      <c r="I15" s="420">
        <f>일위대가총괄표!G11</f>
        <v>3254998</v>
      </c>
      <c r="J15" s="418">
        <f t="shared" si="1"/>
        <v>3254998</v>
      </c>
      <c r="K15" s="420">
        <f>일위대가총괄표!H11</f>
        <v>71903</v>
      </c>
      <c r="L15" s="418">
        <f t="shared" si="2"/>
        <v>71903</v>
      </c>
      <c r="M15" s="420">
        <f>일위대가총괄표!I11</f>
        <v>15360</v>
      </c>
      <c r="N15" s="418">
        <f t="shared" si="3"/>
        <v>15360</v>
      </c>
      <c r="O15" s="421"/>
    </row>
    <row r="16" spans="2:15" s="415" customFormat="1" ht="19.7" customHeight="1">
      <c r="B16" s="416"/>
      <c r="C16" s="417" t="s">
        <v>209</v>
      </c>
      <c r="D16" s="417" t="s">
        <v>197</v>
      </c>
      <c r="E16" s="418">
        <v>1</v>
      </c>
      <c r="F16" s="419" t="s">
        <v>80</v>
      </c>
      <c r="G16" s="420">
        <f t="shared" si="4"/>
        <v>317156</v>
      </c>
      <c r="H16" s="420">
        <f t="shared" si="4"/>
        <v>317156</v>
      </c>
      <c r="I16" s="420">
        <f>일위대가총괄표!G14</f>
        <v>310350</v>
      </c>
      <c r="J16" s="418">
        <f t="shared" si="1"/>
        <v>310350</v>
      </c>
      <c r="K16" s="420">
        <f>일위대가총괄표!H14</f>
        <v>5608</v>
      </c>
      <c r="L16" s="418">
        <f t="shared" si="2"/>
        <v>5608</v>
      </c>
      <c r="M16" s="420">
        <f>일위대가총괄표!I14</f>
        <v>1198</v>
      </c>
      <c r="N16" s="418">
        <f t="shared" si="3"/>
        <v>1198</v>
      </c>
      <c r="O16" s="421"/>
    </row>
    <row r="17" spans="2:15" s="415" customFormat="1" ht="19.7" customHeight="1">
      <c r="B17" s="416"/>
      <c r="C17" s="417" t="s">
        <v>209</v>
      </c>
      <c r="D17" s="417" t="s">
        <v>198</v>
      </c>
      <c r="E17" s="418">
        <v>1</v>
      </c>
      <c r="F17" s="419" t="s">
        <v>80</v>
      </c>
      <c r="G17" s="420">
        <f t="shared" si="4"/>
        <v>604184</v>
      </c>
      <c r="H17" s="420">
        <f t="shared" si="4"/>
        <v>604184</v>
      </c>
      <c r="I17" s="420">
        <f>일위대가총괄표!G6</f>
        <v>588924</v>
      </c>
      <c r="J17" s="418">
        <f t="shared" si="1"/>
        <v>588924</v>
      </c>
      <c r="K17" s="420">
        <f>일위대가총괄표!H6</f>
        <v>12574</v>
      </c>
      <c r="L17" s="418">
        <f t="shared" si="2"/>
        <v>12574</v>
      </c>
      <c r="M17" s="420">
        <f>일위대가총괄표!I6</f>
        <v>2686</v>
      </c>
      <c r="N17" s="418">
        <f t="shared" si="3"/>
        <v>2686</v>
      </c>
      <c r="O17" s="421"/>
    </row>
    <row r="18" spans="2:15" s="415" customFormat="1" ht="19.7" customHeight="1">
      <c r="B18" s="416"/>
      <c r="C18" s="417"/>
      <c r="D18" s="417"/>
      <c r="E18" s="420"/>
      <c r="F18" s="419"/>
      <c r="G18" s="420"/>
      <c r="H18" s="420"/>
      <c r="I18" s="420"/>
      <c r="J18" s="418"/>
      <c r="K18" s="420"/>
      <c r="L18" s="418"/>
      <c r="M18" s="420"/>
      <c r="N18" s="418"/>
      <c r="O18" s="421"/>
    </row>
    <row r="19" spans="2:15" s="415" customFormat="1" ht="19.7" customHeight="1">
      <c r="B19" s="416"/>
      <c r="C19" s="417"/>
      <c r="D19" s="417"/>
      <c r="E19" s="420"/>
      <c r="F19" s="419"/>
      <c r="G19" s="420"/>
      <c r="H19" s="420"/>
      <c r="I19" s="420"/>
      <c r="J19" s="418"/>
      <c r="K19" s="420"/>
      <c r="L19" s="418"/>
      <c r="M19" s="420"/>
      <c r="N19" s="418"/>
      <c r="O19" s="421"/>
    </row>
    <row r="20" spans="2:15" s="408" customFormat="1" ht="19.7" customHeight="1">
      <c r="B20" s="409">
        <v>2</v>
      </c>
      <c r="C20" s="410" t="s">
        <v>266</v>
      </c>
      <c r="D20" s="410" t="s">
        <v>78</v>
      </c>
      <c r="E20" s="411"/>
      <c r="F20" s="412" t="s">
        <v>78</v>
      </c>
      <c r="G20" s="413"/>
      <c r="H20" s="411">
        <f>SUM(H21:H21)</f>
        <v>1094384</v>
      </c>
      <c r="I20" s="413"/>
      <c r="J20" s="411">
        <f>SUM(J21:J21)</f>
        <v>1021750</v>
      </c>
      <c r="K20" s="413"/>
      <c r="L20" s="411">
        <f>SUM(L21:L21)</f>
        <v>26572</v>
      </c>
      <c r="M20" s="413"/>
      <c r="N20" s="411">
        <f>SUM(N21:N21)</f>
        <v>46062</v>
      </c>
      <c r="O20" s="414" t="s">
        <v>78</v>
      </c>
    </row>
    <row r="21" spans="2:15" s="415" customFormat="1" ht="19.7" customHeight="1">
      <c r="B21" s="416"/>
      <c r="C21" s="417" t="s">
        <v>403</v>
      </c>
      <c r="D21" s="417"/>
      <c r="E21" s="422">
        <v>28.789000000000001</v>
      </c>
      <c r="F21" s="419" t="s">
        <v>406</v>
      </c>
      <c r="G21" s="420">
        <f>I21+K21+M21</f>
        <v>38014</v>
      </c>
      <c r="H21" s="420">
        <f>J21+L21+N21</f>
        <v>1094384</v>
      </c>
      <c r="I21" s="420">
        <f>일위대가총괄표!G15</f>
        <v>35491</v>
      </c>
      <c r="J21" s="418">
        <f>TRUNC(E21*I21,0)</f>
        <v>1021750</v>
      </c>
      <c r="K21" s="420">
        <f>일위대가총괄표!H15</f>
        <v>923</v>
      </c>
      <c r="L21" s="418">
        <f>TRUNC(E21*K21,0)</f>
        <v>26572</v>
      </c>
      <c r="M21" s="420">
        <f>일위대가총괄표!I15</f>
        <v>1600</v>
      </c>
      <c r="N21" s="418">
        <f>TRUNC(E21*M21,0)</f>
        <v>46062</v>
      </c>
      <c r="O21" s="421"/>
    </row>
    <row r="22" spans="2:15" s="415" customFormat="1" ht="19.7" customHeight="1">
      <c r="B22" s="423"/>
      <c r="C22" s="424"/>
      <c r="D22" s="424"/>
      <c r="E22" s="425"/>
      <c r="F22" s="426"/>
      <c r="G22" s="420"/>
      <c r="H22" s="420"/>
      <c r="I22" s="420"/>
      <c r="J22" s="418"/>
      <c r="K22" s="420"/>
      <c r="L22" s="418"/>
      <c r="M22" s="420"/>
      <c r="N22" s="418"/>
      <c r="O22" s="421"/>
    </row>
    <row r="23" spans="2:15" s="415" customFormat="1" ht="19.7" customHeight="1">
      <c r="B23" s="423"/>
      <c r="C23" s="424"/>
      <c r="D23" s="424"/>
      <c r="E23" s="425"/>
      <c r="F23" s="426"/>
      <c r="G23" s="420"/>
      <c r="H23" s="420"/>
      <c r="I23" s="420"/>
      <c r="J23" s="418"/>
      <c r="K23" s="420"/>
      <c r="L23" s="418"/>
      <c r="M23" s="420"/>
      <c r="N23" s="418"/>
      <c r="O23" s="421"/>
    </row>
    <row r="24" spans="2:15" s="408" customFormat="1" ht="19.7" customHeight="1">
      <c r="B24" s="409"/>
      <c r="C24" s="410" t="s">
        <v>404</v>
      </c>
      <c r="D24" s="410" t="s">
        <v>78</v>
      </c>
      <c r="E24" s="411"/>
      <c r="F24" s="412" t="s">
        <v>78</v>
      </c>
      <c r="G24" s="413"/>
      <c r="H24" s="411">
        <f>H6+H20</f>
        <v>17324072</v>
      </c>
      <c r="I24" s="413"/>
      <c r="J24" s="411">
        <f>J6+J20</f>
        <v>16834373</v>
      </c>
      <c r="K24" s="413"/>
      <c r="L24" s="411">
        <f>L6+L20</f>
        <v>370226</v>
      </c>
      <c r="M24" s="413"/>
      <c r="N24" s="411">
        <f>N6+N20</f>
        <v>119473</v>
      </c>
      <c r="O24" s="414" t="s">
        <v>78</v>
      </c>
    </row>
    <row r="25" spans="2:15" s="415" customFormat="1" ht="19.7" customHeight="1">
      <c r="B25" s="423"/>
      <c r="C25" s="424"/>
      <c r="D25" s="424"/>
      <c r="E25" s="425"/>
      <c r="F25" s="426"/>
      <c r="G25" s="420"/>
      <c r="H25" s="420"/>
      <c r="I25" s="420"/>
      <c r="J25" s="418"/>
      <c r="K25" s="420"/>
      <c r="L25" s="418"/>
      <c r="M25" s="420"/>
      <c r="N25" s="418"/>
      <c r="O25" s="421"/>
    </row>
    <row r="26" spans="2:15" s="415" customFormat="1" ht="19.7" hidden="1" customHeight="1">
      <c r="B26" s="423"/>
      <c r="C26" s="424"/>
      <c r="D26" s="424"/>
      <c r="E26" s="425"/>
      <c r="F26" s="426"/>
      <c r="G26" s="420"/>
      <c r="H26" s="420"/>
      <c r="I26" s="420"/>
      <c r="J26" s="418"/>
      <c r="K26" s="420"/>
      <c r="L26" s="418"/>
      <c r="M26" s="420"/>
      <c r="N26" s="418"/>
      <c r="O26" s="421"/>
    </row>
    <row r="27" spans="2:15" s="415" customFormat="1" ht="19.7" hidden="1" customHeight="1">
      <c r="B27" s="423"/>
      <c r="C27" s="424"/>
      <c r="D27" s="424"/>
      <c r="E27" s="425"/>
      <c r="F27" s="426"/>
      <c r="G27" s="420"/>
      <c r="H27" s="420"/>
      <c r="I27" s="420"/>
      <c r="J27" s="418"/>
      <c r="K27" s="420"/>
      <c r="L27" s="418"/>
      <c r="M27" s="420"/>
      <c r="N27" s="418"/>
      <c r="O27" s="421"/>
    </row>
    <row r="28" spans="2:15" s="415" customFormat="1" ht="19.7" hidden="1" customHeight="1">
      <c r="B28" s="423"/>
      <c r="C28" s="424"/>
      <c r="D28" s="424"/>
      <c r="E28" s="425"/>
      <c r="F28" s="426"/>
      <c r="G28" s="420"/>
      <c r="H28" s="420"/>
      <c r="I28" s="420"/>
      <c r="J28" s="418"/>
      <c r="K28" s="420"/>
      <c r="L28" s="418"/>
      <c r="M28" s="420"/>
      <c r="N28" s="418"/>
      <c r="O28" s="421"/>
    </row>
    <row r="29" spans="2:15" s="415" customFormat="1" ht="19.7" hidden="1" customHeight="1">
      <c r="B29" s="423"/>
      <c r="C29" s="424"/>
      <c r="D29" s="424"/>
      <c r="E29" s="425"/>
      <c r="F29" s="426"/>
      <c r="G29" s="420"/>
      <c r="H29" s="420"/>
      <c r="I29" s="420"/>
      <c r="J29" s="418"/>
      <c r="K29" s="420"/>
      <c r="L29" s="418"/>
      <c r="M29" s="420"/>
      <c r="N29" s="418"/>
      <c r="O29" s="421"/>
    </row>
    <row r="30" spans="2:15" s="415" customFormat="1" ht="19.7" hidden="1" customHeight="1">
      <c r="B30" s="423"/>
      <c r="C30" s="424"/>
      <c r="D30" s="424"/>
      <c r="E30" s="425"/>
      <c r="F30" s="426"/>
      <c r="G30" s="420"/>
      <c r="H30" s="420"/>
      <c r="I30" s="420"/>
      <c r="J30" s="418"/>
      <c r="K30" s="420"/>
      <c r="L30" s="418"/>
      <c r="M30" s="420"/>
      <c r="N30" s="418"/>
      <c r="O30" s="421"/>
    </row>
    <row r="31" spans="2:15" s="415" customFormat="1" ht="19.7" hidden="1" customHeight="1">
      <c r="B31" s="423"/>
      <c r="C31" s="424"/>
      <c r="D31" s="424"/>
      <c r="E31" s="425"/>
      <c r="F31" s="426"/>
      <c r="G31" s="420"/>
      <c r="H31" s="420"/>
      <c r="I31" s="420"/>
      <c r="J31" s="418"/>
      <c r="K31" s="420"/>
      <c r="L31" s="418"/>
      <c r="M31" s="420"/>
      <c r="N31" s="418"/>
      <c r="O31" s="421"/>
    </row>
    <row r="32" spans="2:15" s="415" customFormat="1" ht="19.7" hidden="1" customHeight="1">
      <c r="B32" s="423"/>
      <c r="C32" s="424"/>
      <c r="D32" s="424"/>
      <c r="E32" s="425"/>
      <c r="F32" s="426"/>
      <c r="G32" s="420"/>
      <c r="H32" s="420"/>
      <c r="I32" s="420"/>
      <c r="J32" s="418"/>
      <c r="K32" s="420"/>
      <c r="L32" s="418"/>
      <c r="M32" s="420"/>
      <c r="N32" s="418"/>
      <c r="O32" s="421"/>
    </row>
    <row r="33" spans="2:15" s="415" customFormat="1" ht="19.7" hidden="1" customHeight="1">
      <c r="B33" s="423"/>
      <c r="C33" s="424"/>
      <c r="D33" s="424"/>
      <c r="E33" s="425"/>
      <c r="F33" s="426"/>
      <c r="G33" s="420"/>
      <c r="H33" s="420"/>
      <c r="I33" s="420"/>
      <c r="J33" s="418"/>
      <c r="K33" s="420"/>
      <c r="L33" s="418"/>
      <c r="M33" s="420"/>
      <c r="N33" s="418"/>
      <c r="O33" s="421"/>
    </row>
    <row r="34" spans="2:15" s="415" customFormat="1" ht="19.7" hidden="1" customHeight="1">
      <c r="B34" s="423"/>
      <c r="C34" s="424"/>
      <c r="D34" s="424"/>
      <c r="E34" s="425"/>
      <c r="F34" s="426"/>
      <c r="G34" s="420"/>
      <c r="H34" s="420"/>
      <c r="I34" s="420"/>
      <c r="J34" s="418"/>
      <c r="K34" s="420"/>
      <c r="L34" s="418"/>
      <c r="M34" s="420"/>
      <c r="N34" s="418"/>
      <c r="O34" s="421"/>
    </row>
    <row r="35" spans="2:15" s="415" customFormat="1" ht="19.7" hidden="1" customHeight="1">
      <c r="B35" s="423"/>
      <c r="C35" s="424"/>
      <c r="D35" s="424"/>
      <c r="E35" s="425"/>
      <c r="F35" s="426"/>
      <c r="G35" s="420"/>
      <c r="H35" s="420"/>
      <c r="I35" s="420"/>
      <c r="J35" s="418"/>
      <c r="K35" s="420"/>
      <c r="L35" s="418"/>
      <c r="M35" s="420"/>
      <c r="N35" s="418"/>
      <c r="O35" s="421"/>
    </row>
    <row r="36" spans="2:15" s="415" customFormat="1" ht="19.7" hidden="1" customHeight="1">
      <c r="B36" s="423"/>
      <c r="C36" s="424"/>
      <c r="D36" s="424"/>
      <c r="E36" s="425"/>
      <c r="F36" s="426"/>
      <c r="G36" s="420"/>
      <c r="H36" s="420"/>
      <c r="I36" s="420"/>
      <c r="J36" s="418"/>
      <c r="K36" s="420"/>
      <c r="L36" s="418"/>
      <c r="M36" s="420"/>
      <c r="N36" s="418"/>
      <c r="O36" s="421"/>
    </row>
    <row r="37" spans="2:15" ht="19.7" hidden="1" customHeight="1">
      <c r="B37" s="423"/>
      <c r="C37" s="424"/>
      <c r="D37" s="425"/>
      <c r="E37" s="427"/>
      <c r="F37" s="426"/>
      <c r="G37" s="420"/>
      <c r="H37" s="420"/>
      <c r="I37" s="420"/>
      <c r="J37" s="418"/>
      <c r="K37" s="420"/>
      <c r="L37" s="418"/>
      <c r="M37" s="420"/>
      <c r="N37" s="418"/>
      <c r="O37" s="421"/>
    </row>
    <row r="38" spans="2:15" ht="19.7" hidden="1" customHeight="1">
      <c r="B38" s="423"/>
      <c r="C38" s="424"/>
      <c r="D38" s="425"/>
      <c r="E38" s="425"/>
      <c r="F38" s="426"/>
      <c r="G38" s="428"/>
      <c r="H38" s="425"/>
      <c r="I38" s="428"/>
      <c r="J38" s="425"/>
      <c r="K38" s="428"/>
      <c r="L38" s="425"/>
      <c r="M38" s="428"/>
      <c r="N38" s="425"/>
      <c r="O38" s="421"/>
    </row>
    <row r="39" spans="2:15" ht="19.7" customHeight="1">
      <c r="B39" s="429"/>
      <c r="C39" s="430" t="s">
        <v>78</v>
      </c>
      <c r="D39" s="430" t="s">
        <v>78</v>
      </c>
      <c r="E39" s="431"/>
      <c r="F39" s="432" t="s">
        <v>78</v>
      </c>
      <c r="G39" s="433"/>
      <c r="H39" s="431"/>
      <c r="I39" s="433"/>
      <c r="J39" s="431"/>
      <c r="K39" s="433"/>
      <c r="L39" s="431"/>
      <c r="M39" s="433"/>
      <c r="N39" s="431"/>
      <c r="O39" s="434"/>
    </row>
    <row r="40" spans="2:15" ht="19.7" customHeight="1"/>
    <row r="41" spans="2:15" ht="19.7" customHeight="1"/>
    <row r="42" spans="2:15" ht="19.7" customHeight="1"/>
    <row r="43" spans="2:15" ht="19.7" customHeight="1"/>
    <row r="44" spans="2:15" ht="19.7" customHeight="1"/>
    <row r="45" spans="2:15" ht="19.7" customHeight="1"/>
    <row r="46" spans="2:15" ht="19.7" customHeight="1"/>
    <row r="47" spans="2:15" ht="19.7" customHeight="1"/>
    <row r="48" spans="2:15" ht="19.7" customHeight="1"/>
    <row r="49" ht="19.7" customHeight="1"/>
    <row r="50" ht="19.7" customHeight="1"/>
  </sheetData>
  <mergeCells count="11">
    <mergeCell ref="O4:O5"/>
    <mergeCell ref="B1:O2"/>
    <mergeCell ref="B4:B5"/>
    <mergeCell ref="C4:C5"/>
    <mergeCell ref="D4:D5"/>
    <mergeCell ref="E4:E5"/>
    <mergeCell ref="F4:F5"/>
    <mergeCell ref="G4:H4"/>
    <mergeCell ref="I4:J4"/>
    <mergeCell ref="K4:L4"/>
    <mergeCell ref="M4:N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C34"/>
  <sheetViews>
    <sheetView workbookViewId="0">
      <pane ySplit="4" topLeftCell="A5" activePane="bottomLeft" state="frozen"/>
      <selection sqref="A1:IV65536"/>
      <selection pane="bottomLeft" activeCell="B3" sqref="B3"/>
    </sheetView>
  </sheetViews>
  <sheetFormatPr defaultColWidth="9.140625" defaultRowHeight="13.5"/>
  <cols>
    <col min="1" max="1" width="0.5703125" style="316" customWidth="1"/>
    <col min="2" max="2" width="12.42578125" style="403" customWidth="1"/>
    <col min="3" max="3" width="24.85546875" style="316" customWidth="1"/>
    <col min="4" max="4" width="22.85546875" style="316" customWidth="1"/>
    <col min="5" max="5" width="8.42578125" style="316" customWidth="1"/>
    <col min="6" max="9" width="15.5703125" style="316" customWidth="1"/>
    <col min="10" max="10" width="14.5703125" style="316" customWidth="1"/>
    <col min="11" max="11" width="9.140625" style="316"/>
    <col min="12" max="12" width="12.5703125" style="316" bestFit="1" customWidth="1"/>
    <col min="13" max="16384" width="9.140625" style="316"/>
  </cols>
  <sheetData>
    <row r="1" spans="2:29" ht="24.95" customHeight="1">
      <c r="B1" s="512" t="s">
        <v>44</v>
      </c>
      <c r="C1" s="512"/>
      <c r="D1" s="512"/>
      <c r="E1" s="512"/>
      <c r="F1" s="512"/>
      <c r="G1" s="512"/>
      <c r="H1" s="512"/>
      <c r="I1" s="512"/>
      <c r="J1" s="512"/>
    </row>
    <row r="2" spans="2:29" ht="9.9499999999999993" customHeight="1">
      <c r="B2" s="513"/>
      <c r="C2" s="513"/>
      <c r="D2" s="513"/>
      <c r="E2" s="513"/>
      <c r="F2" s="513"/>
      <c r="G2" s="513"/>
      <c r="H2" s="513"/>
      <c r="I2" s="513"/>
      <c r="J2" s="513"/>
    </row>
    <row r="3" spans="2:29" s="317" customFormat="1" ht="20.100000000000001" customHeight="1">
      <c r="B3" s="405" t="str">
        <f>내역서!B3</f>
        <v>공사명 : 고천동 고고리길 도로개설공사 중 대형목 벌목공사</v>
      </c>
    </row>
    <row r="4" spans="2:29" ht="30.75" customHeight="1">
      <c r="B4" s="399" t="s">
        <v>52</v>
      </c>
      <c r="C4" s="319" t="s">
        <v>45</v>
      </c>
      <c r="D4" s="319" t="s">
        <v>57</v>
      </c>
      <c r="E4" s="319" t="s">
        <v>29</v>
      </c>
      <c r="F4" s="319" t="s">
        <v>72</v>
      </c>
      <c r="G4" s="319" t="s">
        <v>62</v>
      </c>
      <c r="H4" s="319" t="s">
        <v>42</v>
      </c>
      <c r="I4" s="319" t="s">
        <v>7</v>
      </c>
      <c r="J4" s="320" t="s">
        <v>21</v>
      </c>
      <c r="Z4" s="316" t="s">
        <v>43</v>
      </c>
      <c r="AA4" s="316" t="s">
        <v>51</v>
      </c>
      <c r="AB4" s="316" t="s">
        <v>76</v>
      </c>
      <c r="AC4" s="316" t="s">
        <v>47</v>
      </c>
    </row>
    <row r="5" spans="2:29" ht="19.7" customHeight="1">
      <c r="B5" s="400" t="s">
        <v>89</v>
      </c>
      <c r="C5" s="328" t="s">
        <v>84</v>
      </c>
      <c r="D5" s="328" t="str">
        <f>일위대가!D5</f>
        <v>B=36~40(R=43~48)</v>
      </c>
      <c r="E5" s="329" t="s">
        <v>18</v>
      </c>
      <c r="F5" s="378" t="str">
        <f t="shared" ref="F5:F15" si="0">TEXT(G5+H5+I5,"#,##0")</f>
        <v>458,797</v>
      </c>
      <c r="G5" s="378">
        <f>일위대가!J5</f>
        <v>447386</v>
      </c>
      <c r="H5" s="378">
        <f>일위대가!L5</f>
        <v>9402</v>
      </c>
      <c r="I5" s="378">
        <f>일위대가!N5</f>
        <v>2009</v>
      </c>
      <c r="J5" s="397"/>
      <c r="Z5" s="326"/>
      <c r="AA5" s="326"/>
    </row>
    <row r="6" spans="2:29" ht="19.7" customHeight="1">
      <c r="B6" s="400" t="s">
        <v>90</v>
      </c>
      <c r="C6" s="328" t="s">
        <v>84</v>
      </c>
      <c r="D6" s="328" t="str">
        <f>일위대가!D13</f>
        <v>B=41~45(R=49~54)</v>
      </c>
      <c r="E6" s="329" t="s">
        <v>18</v>
      </c>
      <c r="F6" s="378" t="str">
        <f t="shared" si="0"/>
        <v>604,184</v>
      </c>
      <c r="G6" s="378">
        <f>일위대가!J13</f>
        <v>588924</v>
      </c>
      <c r="H6" s="378">
        <f>일위대가!L13</f>
        <v>12574</v>
      </c>
      <c r="I6" s="378">
        <f>일위대가!N13</f>
        <v>2686</v>
      </c>
      <c r="J6" s="397"/>
      <c r="Z6" s="326"/>
      <c r="AA6" s="326"/>
    </row>
    <row r="7" spans="2:29" ht="19.7" customHeight="1">
      <c r="B7" s="400" t="s">
        <v>173</v>
      </c>
      <c r="C7" s="328" t="s">
        <v>84</v>
      </c>
      <c r="D7" s="328" t="str">
        <f>일위대가!D21</f>
        <v>B=46~50(R=55~60)</v>
      </c>
      <c r="E7" s="329" t="s">
        <v>18</v>
      </c>
      <c r="F7" s="378" t="str">
        <f t="shared" si="0"/>
        <v>875,880</v>
      </c>
      <c r="G7" s="378">
        <f>일위대가!J21</f>
        <v>853404</v>
      </c>
      <c r="H7" s="378">
        <f>일위대가!L21</f>
        <v>18520</v>
      </c>
      <c r="I7" s="378">
        <f>일위대가!N21</f>
        <v>3956</v>
      </c>
      <c r="J7" s="397"/>
      <c r="Z7" s="326"/>
      <c r="AA7" s="326"/>
    </row>
    <row r="8" spans="2:29" ht="19.7" customHeight="1">
      <c r="B8" s="400" t="s">
        <v>189</v>
      </c>
      <c r="C8" s="328" t="s">
        <v>84</v>
      </c>
      <c r="D8" s="328" t="str">
        <f>일위대가!D29</f>
        <v>B=51~55(R=61~66)</v>
      </c>
      <c r="E8" s="329" t="s">
        <v>18</v>
      </c>
      <c r="F8" s="378" t="str">
        <f>TEXT(G8+H8+I8,"#,##0")</f>
        <v>1,075,040</v>
      </c>
      <c r="G8" s="378">
        <f>일위대가!J29</f>
        <v>1047260</v>
      </c>
      <c r="H8" s="378">
        <f>일위대가!L29</f>
        <v>22890</v>
      </c>
      <c r="I8" s="378">
        <f>일위대가!N29</f>
        <v>4890</v>
      </c>
      <c r="J8" s="397"/>
      <c r="Z8" s="326"/>
      <c r="AA8" s="326"/>
    </row>
    <row r="9" spans="2:29" ht="19.7" customHeight="1">
      <c r="B9" s="400" t="s">
        <v>174</v>
      </c>
      <c r="C9" s="328" t="s">
        <v>84</v>
      </c>
      <c r="D9" s="328" t="str">
        <f>일위대가!D37</f>
        <v>B=56~60(R=67~72)</v>
      </c>
      <c r="E9" s="329" t="s">
        <v>18</v>
      </c>
      <c r="F9" s="378" t="str">
        <f t="shared" si="0"/>
        <v>1,371,958</v>
      </c>
      <c r="G9" s="378">
        <f>일위대가!J37</f>
        <v>1336223</v>
      </c>
      <c r="H9" s="378">
        <f>일위대가!L37</f>
        <v>29445</v>
      </c>
      <c r="I9" s="378">
        <f>일위대가!N37</f>
        <v>6290</v>
      </c>
      <c r="J9" s="397"/>
      <c r="Z9" s="326"/>
      <c r="AA9" s="326"/>
    </row>
    <row r="10" spans="2:29" ht="19.7" customHeight="1">
      <c r="B10" s="400" t="s">
        <v>175</v>
      </c>
      <c r="C10" s="328" t="s">
        <v>84</v>
      </c>
      <c r="D10" s="328" t="str">
        <f>일위대가!D45</f>
        <v>B=61~65(R=67~72)</v>
      </c>
      <c r="E10" s="329" t="s">
        <v>18</v>
      </c>
      <c r="F10" s="378" t="str">
        <f>TEXT(G10+H10+I10,"#,##0")</f>
        <v>1,571,899</v>
      </c>
      <c r="G10" s="378">
        <f>일위대가!J45</f>
        <v>1530858</v>
      </c>
      <c r="H10" s="378">
        <f>일위대가!L45</f>
        <v>33817</v>
      </c>
      <c r="I10" s="378">
        <f>일위대가!N45</f>
        <v>7224</v>
      </c>
      <c r="J10" s="397"/>
      <c r="Z10" s="326"/>
      <c r="AA10" s="326"/>
    </row>
    <row r="11" spans="2:29" ht="19.7" customHeight="1">
      <c r="B11" s="400" t="s">
        <v>190</v>
      </c>
      <c r="C11" s="328" t="s">
        <v>84</v>
      </c>
      <c r="D11" s="328" t="str">
        <f>일위대가!D53</f>
        <v>B=66~70(R=79~84)</v>
      </c>
      <c r="E11" s="329" t="s">
        <v>18</v>
      </c>
      <c r="F11" s="378" t="str">
        <f t="shared" si="0"/>
        <v>3,342,261</v>
      </c>
      <c r="G11" s="378">
        <f>일위대가!J53</f>
        <v>3254998</v>
      </c>
      <c r="H11" s="378">
        <f>일위대가!L53</f>
        <v>71903</v>
      </c>
      <c r="I11" s="378">
        <f>일위대가!N53</f>
        <v>15360</v>
      </c>
      <c r="J11" s="397"/>
      <c r="Z11" s="326"/>
      <c r="AA11" s="326"/>
    </row>
    <row r="12" spans="2:29" ht="19.7" customHeight="1">
      <c r="B12" s="400" t="s">
        <v>191</v>
      </c>
      <c r="C12" s="328" t="s">
        <v>84</v>
      </c>
      <c r="D12" s="328" t="str">
        <f>일위대가!D61</f>
        <v>B=71~75(R=85~90)</v>
      </c>
      <c r="E12" s="329" t="s">
        <v>18</v>
      </c>
      <c r="F12" s="378" t="str">
        <f t="shared" si="0"/>
        <v>3,771,888</v>
      </c>
      <c r="G12" s="378">
        <f>일위대가!J61</f>
        <v>3673408</v>
      </c>
      <c r="H12" s="378">
        <f>일위대가!L61</f>
        <v>81146</v>
      </c>
      <c r="I12" s="378">
        <f>일위대가!N61</f>
        <v>17334</v>
      </c>
      <c r="J12" s="397"/>
      <c r="Z12" s="326"/>
      <c r="AA12" s="326"/>
    </row>
    <row r="13" spans="2:29" ht="19.7" customHeight="1">
      <c r="B13" s="400" t="s">
        <v>192</v>
      </c>
      <c r="C13" s="328" t="s">
        <v>84</v>
      </c>
      <c r="D13" s="328" t="str">
        <f>일위대가!D69</f>
        <v>B=29~30(R=35~36)</v>
      </c>
      <c r="E13" s="329" t="s">
        <v>18</v>
      </c>
      <c r="F13" s="378" t="str">
        <f>TEXT(G13+H13+I13,"#,##0")</f>
        <v>224,645</v>
      </c>
      <c r="G13" s="378">
        <f>일위대가!J69</f>
        <v>220055</v>
      </c>
      <c r="H13" s="378">
        <f>일위대가!L69</f>
        <v>3782</v>
      </c>
      <c r="I13" s="378">
        <f>일위대가!N69</f>
        <v>808</v>
      </c>
      <c r="J13" s="397"/>
      <c r="Z13" s="326"/>
      <c r="AA13" s="326"/>
    </row>
    <row r="14" spans="2:29" ht="19.7" customHeight="1">
      <c r="B14" s="400" t="s">
        <v>195</v>
      </c>
      <c r="C14" s="328" t="s">
        <v>84</v>
      </c>
      <c r="D14" s="328" t="str">
        <f>일위대가!D77</f>
        <v>B=31~35(R=37~42)</v>
      </c>
      <c r="E14" s="329" t="s">
        <v>18</v>
      </c>
      <c r="F14" s="378" t="str">
        <f>TEXT(G14+H14+I14,"#,##0")</f>
        <v>317,156</v>
      </c>
      <c r="G14" s="378">
        <f>일위대가!J77</f>
        <v>310350</v>
      </c>
      <c r="H14" s="378">
        <f>일위대가!L77</f>
        <v>5608</v>
      </c>
      <c r="I14" s="378">
        <f>일위대가!N77</f>
        <v>1198</v>
      </c>
      <c r="J14" s="397"/>
      <c r="Z14" s="326"/>
      <c r="AA14" s="326"/>
    </row>
    <row r="15" spans="2:29" ht="19.7" customHeight="1">
      <c r="B15" s="400" t="s">
        <v>196</v>
      </c>
      <c r="C15" s="328" t="str">
        <f>일위대가!C85</f>
        <v>집재 및 소운반</v>
      </c>
      <c r="D15" s="328"/>
      <c r="E15" s="329" t="s">
        <v>407</v>
      </c>
      <c r="F15" s="378" t="str">
        <f t="shared" si="0"/>
        <v>38,014</v>
      </c>
      <c r="G15" s="378">
        <f>일위대가!J85</f>
        <v>35491</v>
      </c>
      <c r="H15" s="378">
        <f>일위대가!L85</f>
        <v>923</v>
      </c>
      <c r="I15" s="378">
        <f>일위대가!N85</f>
        <v>1600</v>
      </c>
      <c r="J15" s="397"/>
      <c r="Z15" s="326"/>
      <c r="AA15" s="326"/>
    </row>
    <row r="16" spans="2:29" ht="19.7" hidden="1" customHeight="1">
      <c r="B16" s="400"/>
      <c r="C16" s="328"/>
      <c r="D16" s="328"/>
      <c r="E16" s="329"/>
      <c r="F16" s="378"/>
      <c r="G16" s="378"/>
      <c r="H16" s="378"/>
      <c r="I16" s="378"/>
      <c r="J16" s="397"/>
      <c r="Z16" s="326"/>
      <c r="AA16" s="326"/>
    </row>
    <row r="17" spans="2:27" ht="19.7" hidden="1" customHeight="1">
      <c r="B17" s="400"/>
      <c r="C17" s="328"/>
      <c r="D17" s="328"/>
      <c r="E17" s="329"/>
      <c r="F17" s="378"/>
      <c r="G17" s="378"/>
      <c r="H17" s="378"/>
      <c r="I17" s="378"/>
      <c r="J17" s="397"/>
      <c r="Z17" s="326"/>
      <c r="AA17" s="326"/>
    </row>
    <row r="18" spans="2:27" ht="19.7" hidden="1" customHeight="1">
      <c r="B18" s="400"/>
      <c r="C18" s="328"/>
      <c r="D18" s="328"/>
      <c r="E18" s="329"/>
      <c r="F18" s="378"/>
      <c r="G18" s="378"/>
      <c r="H18" s="378"/>
      <c r="I18" s="378"/>
      <c r="J18" s="397"/>
      <c r="Z18" s="326"/>
      <c r="AA18" s="326"/>
    </row>
    <row r="19" spans="2:27" ht="19.7" hidden="1" customHeight="1">
      <c r="B19" s="400"/>
      <c r="C19" s="328"/>
      <c r="D19" s="328"/>
      <c r="E19" s="329"/>
      <c r="F19" s="378"/>
      <c r="G19" s="378"/>
      <c r="H19" s="378"/>
      <c r="I19" s="378"/>
      <c r="J19" s="397"/>
      <c r="Z19" s="326"/>
      <c r="AA19" s="326"/>
    </row>
    <row r="20" spans="2:27" ht="19.7" hidden="1" customHeight="1">
      <c r="B20" s="400"/>
      <c r="C20" s="328"/>
      <c r="D20" s="328"/>
      <c r="E20" s="329"/>
      <c r="F20" s="378"/>
      <c r="G20" s="378"/>
      <c r="H20" s="378"/>
      <c r="I20" s="378"/>
      <c r="J20" s="397"/>
      <c r="Z20" s="326"/>
      <c r="AA20" s="326"/>
    </row>
    <row r="21" spans="2:27" ht="19.7" hidden="1" customHeight="1">
      <c r="B21" s="400"/>
      <c r="C21" s="328"/>
      <c r="D21" s="328"/>
      <c r="E21" s="329"/>
      <c r="F21" s="378"/>
      <c r="G21" s="378"/>
      <c r="H21" s="378"/>
      <c r="I21" s="378"/>
      <c r="J21" s="397"/>
      <c r="Z21" s="326"/>
      <c r="AA21" s="326"/>
    </row>
    <row r="22" spans="2:27" ht="19.7" hidden="1" customHeight="1">
      <c r="B22" s="400"/>
      <c r="C22" s="328"/>
      <c r="D22" s="328"/>
      <c r="E22" s="329"/>
      <c r="F22" s="378"/>
      <c r="G22" s="378"/>
      <c r="H22" s="378"/>
      <c r="I22" s="378"/>
      <c r="J22" s="397"/>
      <c r="Z22" s="326"/>
      <c r="AA22" s="326"/>
    </row>
    <row r="23" spans="2:27" ht="19.7" hidden="1" customHeight="1">
      <c r="B23" s="400"/>
      <c r="C23" s="328"/>
      <c r="D23" s="328"/>
      <c r="E23" s="329"/>
      <c r="F23" s="378"/>
      <c r="G23" s="378"/>
      <c r="H23" s="378"/>
      <c r="I23" s="378"/>
      <c r="J23" s="397"/>
      <c r="Z23" s="326"/>
      <c r="AA23" s="326"/>
    </row>
    <row r="24" spans="2:27" ht="19.7" hidden="1" customHeight="1">
      <c r="B24" s="400"/>
      <c r="C24" s="328"/>
      <c r="D24" s="328"/>
      <c r="E24" s="329"/>
      <c r="F24" s="378"/>
      <c r="G24" s="378"/>
      <c r="H24" s="378"/>
      <c r="I24" s="378"/>
      <c r="J24" s="397"/>
      <c r="Z24" s="326"/>
      <c r="AA24" s="326"/>
    </row>
    <row r="25" spans="2:27" ht="19.7" hidden="1" customHeight="1">
      <c r="B25" s="400"/>
      <c r="C25" s="328"/>
      <c r="D25" s="328"/>
      <c r="E25" s="329"/>
      <c r="F25" s="378"/>
      <c r="G25" s="378"/>
      <c r="H25" s="378"/>
      <c r="I25" s="378"/>
      <c r="J25" s="397"/>
      <c r="Z25" s="326"/>
      <c r="AA25" s="326"/>
    </row>
    <row r="26" spans="2:27" ht="19.7" hidden="1" customHeight="1">
      <c r="B26" s="400"/>
      <c r="C26" s="328"/>
      <c r="D26" s="328"/>
      <c r="E26" s="329"/>
      <c r="F26" s="378"/>
      <c r="G26" s="378"/>
      <c r="H26" s="378"/>
      <c r="I26" s="378"/>
      <c r="J26" s="397"/>
      <c r="Z26" s="326"/>
      <c r="AA26" s="326"/>
    </row>
    <row r="27" spans="2:27" ht="19.7" hidden="1" customHeight="1">
      <c r="B27" s="400"/>
      <c r="C27" s="328"/>
      <c r="D27" s="328"/>
      <c r="E27" s="329"/>
      <c r="F27" s="378"/>
      <c r="G27" s="378"/>
      <c r="H27" s="378"/>
      <c r="I27" s="378"/>
      <c r="J27" s="397"/>
      <c r="Z27" s="326"/>
      <c r="AA27" s="326"/>
    </row>
    <row r="28" spans="2:27" ht="19.7" hidden="1" customHeight="1">
      <c r="B28" s="400"/>
      <c r="C28" s="328"/>
      <c r="D28" s="328"/>
      <c r="E28" s="329"/>
      <c r="F28" s="378"/>
      <c r="G28" s="378"/>
      <c r="H28" s="378"/>
      <c r="I28" s="378"/>
      <c r="J28" s="397"/>
      <c r="Z28" s="326"/>
      <c r="AA28" s="326"/>
    </row>
    <row r="29" spans="2:27" ht="19.7" customHeight="1">
      <c r="B29" s="400"/>
      <c r="C29" s="328"/>
      <c r="D29" s="328"/>
      <c r="E29" s="329"/>
      <c r="F29" s="378"/>
      <c r="G29" s="378"/>
      <c r="H29" s="378"/>
      <c r="I29" s="378"/>
      <c r="J29" s="397"/>
      <c r="Z29" s="326"/>
      <c r="AA29" s="326"/>
    </row>
    <row r="30" spans="2:27" ht="19.7" customHeight="1">
      <c r="B30" s="400"/>
      <c r="C30" s="328"/>
      <c r="D30" s="328"/>
      <c r="E30" s="329"/>
      <c r="F30" s="378"/>
      <c r="G30" s="378"/>
      <c r="H30" s="378"/>
      <c r="I30" s="378"/>
      <c r="J30" s="397"/>
      <c r="Z30" s="326"/>
      <c r="AA30" s="326"/>
    </row>
    <row r="31" spans="2:27" ht="19.7" customHeight="1">
      <c r="B31" s="400"/>
      <c r="C31" s="328"/>
      <c r="D31" s="328"/>
      <c r="E31" s="329"/>
      <c r="F31" s="378"/>
      <c r="G31" s="378"/>
      <c r="H31" s="378"/>
      <c r="I31" s="378"/>
      <c r="J31" s="397"/>
      <c r="Z31" s="326"/>
      <c r="AA31" s="326"/>
    </row>
    <row r="32" spans="2:27" ht="19.7" customHeight="1">
      <c r="B32" s="400"/>
      <c r="C32" s="328"/>
      <c r="D32" s="328"/>
      <c r="E32" s="329"/>
      <c r="F32" s="378"/>
      <c r="G32" s="378"/>
      <c r="H32" s="378"/>
      <c r="I32" s="378"/>
      <c r="J32" s="397"/>
      <c r="Z32" s="326"/>
      <c r="AA32" s="326"/>
    </row>
    <row r="33" spans="2:29" ht="19.7" customHeight="1">
      <c r="B33" s="400"/>
      <c r="C33" s="328"/>
      <c r="D33" s="328"/>
      <c r="E33" s="329"/>
      <c r="F33" s="378"/>
      <c r="G33" s="378"/>
      <c r="H33" s="378"/>
      <c r="I33" s="378"/>
      <c r="J33" s="397"/>
      <c r="Z33" s="326"/>
      <c r="AA33" s="326"/>
    </row>
    <row r="34" spans="2:29" ht="19.7" customHeight="1">
      <c r="B34" s="401"/>
      <c r="C34" s="332"/>
      <c r="D34" s="332"/>
      <c r="E34" s="333"/>
      <c r="F34" s="402"/>
      <c r="G34" s="402"/>
      <c r="H34" s="402"/>
      <c r="I34" s="402"/>
      <c r="J34" s="348"/>
      <c r="Z34" s="326"/>
      <c r="AA34" s="326"/>
      <c r="AB34" s="326"/>
      <c r="AC34" s="326"/>
    </row>
  </sheetData>
  <mergeCells count="1">
    <mergeCell ref="B1:J2"/>
  </mergeCells>
  <phoneticPr fontId="2" type="noConversion"/>
  <printOptions horizontalCentered="1"/>
  <pageMargins left="0.59055118110236227" right="0.59055118110236227" top="0.6692913385826772" bottom="0.59055118110236227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87"/>
  <sheetViews>
    <sheetView tabSelected="1" workbookViewId="0">
      <pane ySplit="4" topLeftCell="A5" activePane="bottomLeft" state="frozen"/>
      <selection sqref="A1:IV65536"/>
      <selection pane="bottomLeft" activeCell="E75" sqref="E75"/>
    </sheetView>
  </sheetViews>
  <sheetFormatPr defaultColWidth="9.140625" defaultRowHeight="13.5"/>
  <cols>
    <col min="1" max="1" width="0.5703125" style="316" customWidth="1"/>
    <col min="2" max="2" width="11.42578125" style="398" bestFit="1" customWidth="1"/>
    <col min="3" max="3" width="20.42578125" style="316" customWidth="1"/>
    <col min="4" max="4" width="18.140625" style="316" customWidth="1"/>
    <col min="5" max="5" width="7.5703125" style="316" customWidth="1"/>
    <col min="6" max="6" width="4.42578125" style="316" customWidth="1"/>
    <col min="7" max="7" width="10.42578125" style="316" bestFit="1" customWidth="1"/>
    <col min="8" max="8" width="10.42578125" style="316" customWidth="1"/>
    <col min="9" max="9" width="8.85546875" style="316" customWidth="1"/>
    <col min="10" max="10" width="10.42578125" style="316" customWidth="1"/>
    <col min="11" max="11" width="10.42578125" style="316" bestFit="1" customWidth="1"/>
    <col min="12" max="12" width="11.85546875" style="316" bestFit="1" customWidth="1"/>
    <col min="13" max="13" width="8.85546875" style="316" customWidth="1"/>
    <col min="14" max="14" width="10.140625" style="316" customWidth="1"/>
    <col min="15" max="15" width="14.140625" style="316" bestFit="1" customWidth="1"/>
    <col min="16" max="16384" width="9.140625" style="316"/>
  </cols>
  <sheetData>
    <row r="1" spans="2:15" ht="24.95" customHeight="1">
      <c r="B1" s="512" t="s">
        <v>10</v>
      </c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</row>
    <row r="2" spans="2:15" ht="9.9499999999999993" customHeight="1"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</row>
    <row r="3" spans="2:15" ht="15.6" customHeight="1">
      <c r="B3" s="516" t="s">
        <v>52</v>
      </c>
      <c r="C3" s="518" t="s">
        <v>45</v>
      </c>
      <c r="D3" s="518" t="s">
        <v>57</v>
      </c>
      <c r="E3" s="518" t="s">
        <v>4</v>
      </c>
      <c r="F3" s="518" t="s">
        <v>29</v>
      </c>
      <c r="G3" s="520" t="s">
        <v>72</v>
      </c>
      <c r="H3" s="521"/>
      <c r="I3" s="520" t="s">
        <v>62</v>
      </c>
      <c r="J3" s="521"/>
      <c r="K3" s="520" t="s">
        <v>42</v>
      </c>
      <c r="L3" s="521"/>
      <c r="M3" s="520" t="s">
        <v>7</v>
      </c>
      <c r="N3" s="521"/>
      <c r="O3" s="514" t="s">
        <v>21</v>
      </c>
    </row>
    <row r="4" spans="2:15" ht="19.7" customHeight="1">
      <c r="B4" s="517"/>
      <c r="C4" s="519"/>
      <c r="D4" s="519"/>
      <c r="E4" s="519"/>
      <c r="F4" s="519"/>
      <c r="G4" s="336" t="s">
        <v>1</v>
      </c>
      <c r="H4" s="337" t="s">
        <v>37</v>
      </c>
      <c r="I4" s="336" t="s">
        <v>1</v>
      </c>
      <c r="J4" s="337" t="s">
        <v>37</v>
      </c>
      <c r="K4" s="336" t="s">
        <v>1</v>
      </c>
      <c r="L4" s="337" t="s">
        <v>37</v>
      </c>
      <c r="M4" s="336" t="s">
        <v>1</v>
      </c>
      <c r="N4" s="337" t="s">
        <v>37</v>
      </c>
      <c r="O4" s="515"/>
    </row>
    <row r="5" spans="2:15" s="383" customFormat="1" ht="19.7" customHeight="1">
      <c r="B5" s="384">
        <f>1</f>
        <v>1</v>
      </c>
      <c r="C5" s="385" t="s">
        <v>84</v>
      </c>
      <c r="D5" s="386" t="s">
        <v>91</v>
      </c>
      <c r="E5" s="387"/>
      <c r="F5" s="388" t="s">
        <v>18</v>
      </c>
      <c r="G5" s="389"/>
      <c r="H5" s="390" t="str">
        <f t="shared" ref="H5:H11" si="0">TEXT(J5+L5+N5,"#,##0")</f>
        <v>458,797</v>
      </c>
      <c r="I5" s="389"/>
      <c r="J5" s="390">
        <f>TRUNC(J6+J7+J8+J9+J10+J11)</f>
        <v>447386</v>
      </c>
      <c r="K5" s="389"/>
      <c r="L5" s="390">
        <f>TRUNC(L6+L7+L8+L9+L10+L11)</f>
        <v>9402</v>
      </c>
      <c r="M5" s="389"/>
      <c r="N5" s="390">
        <f>TRUNC(N6+N7+N8+N9+N10+N11)</f>
        <v>2009</v>
      </c>
      <c r="O5" s="391" t="s">
        <v>78</v>
      </c>
    </row>
    <row r="6" spans="2:15" ht="19.7" customHeight="1">
      <c r="B6" s="392" t="s">
        <v>78</v>
      </c>
      <c r="C6" s="328" t="s">
        <v>85</v>
      </c>
      <c r="D6" s="328" t="s">
        <v>78</v>
      </c>
      <c r="E6" s="393">
        <v>0.52200000000000002</v>
      </c>
      <c r="F6" s="329" t="s">
        <v>67</v>
      </c>
      <c r="G6" s="394">
        <f t="shared" ref="G6:G11" si="1">I6+K6+M6</f>
        <v>201640</v>
      </c>
      <c r="H6" s="395" t="str">
        <f t="shared" si="0"/>
        <v>105,256</v>
      </c>
      <c r="I6" s="396">
        <f>노임단가!L6</f>
        <v>201640</v>
      </c>
      <c r="J6" s="395">
        <f t="shared" ref="J6:J11" si="2">TRUNC(E6*I6,1)</f>
        <v>105256</v>
      </c>
      <c r="K6" s="396"/>
      <c r="L6" s="395">
        <f t="shared" ref="L6:L11" si="3">TRUNC(E6*K6,1)</f>
        <v>0</v>
      </c>
      <c r="M6" s="396"/>
      <c r="N6" s="395">
        <f t="shared" ref="N6:N11" si="4">TRUNC(E6*M6,1)</f>
        <v>0</v>
      </c>
      <c r="O6" s="397" t="s">
        <v>78</v>
      </c>
    </row>
    <row r="7" spans="2:15" ht="19.7" customHeight="1">
      <c r="B7" s="392" t="s">
        <v>78</v>
      </c>
      <c r="C7" s="328" t="s">
        <v>6</v>
      </c>
      <c r="D7" s="328" t="s">
        <v>86</v>
      </c>
      <c r="E7" s="393">
        <v>0.28000000000000003</v>
      </c>
      <c r="F7" s="329" t="s">
        <v>67</v>
      </c>
      <c r="G7" s="394">
        <f t="shared" si="1"/>
        <v>144481</v>
      </c>
      <c r="H7" s="395" t="str">
        <f t="shared" si="0"/>
        <v>40,455</v>
      </c>
      <c r="I7" s="396">
        <f>노임단가!L5</f>
        <v>144481</v>
      </c>
      <c r="J7" s="395">
        <f t="shared" si="2"/>
        <v>40454.6</v>
      </c>
      <c r="K7" s="396"/>
      <c r="L7" s="395">
        <f t="shared" si="3"/>
        <v>0</v>
      </c>
      <c r="M7" s="396"/>
      <c r="N7" s="395">
        <f t="shared" si="4"/>
        <v>0</v>
      </c>
      <c r="O7" s="397" t="s">
        <v>78</v>
      </c>
    </row>
    <row r="8" spans="2:15" ht="19.7" customHeight="1">
      <c r="B8" s="392"/>
      <c r="C8" s="328"/>
      <c r="D8" s="328" t="s">
        <v>87</v>
      </c>
      <c r="E8" s="393">
        <v>2.0880000000000001</v>
      </c>
      <c r="F8" s="329" t="s">
        <v>67</v>
      </c>
      <c r="G8" s="394">
        <f t="shared" si="1"/>
        <v>144481</v>
      </c>
      <c r="H8" s="395" t="str">
        <f t="shared" si="0"/>
        <v>301,676</v>
      </c>
      <c r="I8" s="396">
        <f>노임단가!L5</f>
        <v>144481</v>
      </c>
      <c r="J8" s="395">
        <f t="shared" si="2"/>
        <v>301676.3</v>
      </c>
      <c r="K8" s="396"/>
      <c r="L8" s="395">
        <f t="shared" si="3"/>
        <v>0</v>
      </c>
      <c r="M8" s="396"/>
      <c r="N8" s="395">
        <f t="shared" si="4"/>
        <v>0</v>
      </c>
      <c r="O8" s="397"/>
    </row>
    <row r="9" spans="2:15" ht="19.7" customHeight="1">
      <c r="B9" s="392" t="s">
        <v>78</v>
      </c>
      <c r="C9" s="328" t="s">
        <v>88</v>
      </c>
      <c r="D9" s="328" t="s">
        <v>78</v>
      </c>
      <c r="E9" s="393">
        <v>4.1769999999999996</v>
      </c>
      <c r="F9" s="329" t="s">
        <v>53</v>
      </c>
      <c r="G9" s="394">
        <f t="shared" si="1"/>
        <v>481</v>
      </c>
      <c r="H9" s="395" t="str">
        <f t="shared" si="0"/>
        <v>2,009</v>
      </c>
      <c r="I9" s="396"/>
      <c r="J9" s="395">
        <f t="shared" si="2"/>
        <v>0</v>
      </c>
      <c r="K9" s="396"/>
      <c r="L9" s="395">
        <f t="shared" si="3"/>
        <v>0</v>
      </c>
      <c r="M9" s="396" t="str">
        <f>기계경비총괄표!F4</f>
        <v>481</v>
      </c>
      <c r="N9" s="395">
        <f t="shared" si="4"/>
        <v>2009.1</v>
      </c>
      <c r="O9" s="397" t="s">
        <v>78</v>
      </c>
    </row>
    <row r="10" spans="2:15" ht="19.7" customHeight="1">
      <c r="B10" s="392" t="s">
        <v>78</v>
      </c>
      <c r="C10" s="328" t="s">
        <v>2</v>
      </c>
      <c r="D10" s="328" t="s">
        <v>78</v>
      </c>
      <c r="E10" s="393">
        <v>2.923</v>
      </c>
      <c r="F10" s="329" t="s">
        <v>58</v>
      </c>
      <c r="G10" s="394">
        <f t="shared" si="1"/>
        <v>1650</v>
      </c>
      <c r="H10" s="395" t="str">
        <f t="shared" si="0"/>
        <v>4,823</v>
      </c>
      <c r="I10" s="396"/>
      <c r="J10" s="395">
        <f t="shared" si="2"/>
        <v>0</v>
      </c>
      <c r="K10" s="396">
        <f>자재단가!R5</f>
        <v>1650</v>
      </c>
      <c r="L10" s="395">
        <f t="shared" si="3"/>
        <v>4822.8999999999996</v>
      </c>
      <c r="M10" s="396"/>
      <c r="N10" s="395">
        <f t="shared" si="4"/>
        <v>0</v>
      </c>
      <c r="O10" s="397" t="s">
        <v>78</v>
      </c>
    </row>
    <row r="11" spans="2:15" ht="19.7" customHeight="1">
      <c r="B11" s="392" t="s">
        <v>78</v>
      </c>
      <c r="C11" s="328" t="s">
        <v>55</v>
      </c>
      <c r="D11" s="328" t="s">
        <v>40</v>
      </c>
      <c r="E11" s="393">
        <v>1.2110000000000001</v>
      </c>
      <c r="F11" s="329" t="s">
        <v>58</v>
      </c>
      <c r="G11" s="394">
        <f t="shared" si="1"/>
        <v>3782</v>
      </c>
      <c r="H11" s="395" t="str">
        <f t="shared" si="0"/>
        <v>4,580</v>
      </c>
      <c r="I11" s="396"/>
      <c r="J11" s="395">
        <f t="shared" si="2"/>
        <v>0</v>
      </c>
      <c r="K11" s="396">
        <f>자재단가!R6</f>
        <v>3782</v>
      </c>
      <c r="L11" s="395">
        <f t="shared" si="3"/>
        <v>4580</v>
      </c>
      <c r="M11" s="396"/>
      <c r="N11" s="395">
        <f t="shared" si="4"/>
        <v>0</v>
      </c>
      <c r="O11" s="397" t="s">
        <v>78</v>
      </c>
    </row>
    <row r="12" spans="2:15" ht="19.7" customHeight="1">
      <c r="B12" s="392"/>
      <c r="C12" s="328"/>
      <c r="D12" s="328"/>
      <c r="E12" s="393"/>
      <c r="F12" s="329"/>
      <c r="G12" s="394"/>
      <c r="H12" s="395"/>
      <c r="I12" s="396"/>
      <c r="J12" s="395"/>
      <c r="K12" s="396"/>
      <c r="L12" s="395"/>
      <c r="M12" s="396"/>
      <c r="N12" s="395"/>
      <c r="O12" s="397"/>
    </row>
    <row r="13" spans="2:15" s="383" customFormat="1" ht="19.7" customHeight="1">
      <c r="B13" s="384">
        <f>B5+1</f>
        <v>2</v>
      </c>
      <c r="C13" s="385" t="s">
        <v>84</v>
      </c>
      <c r="D13" s="386" t="s">
        <v>92</v>
      </c>
      <c r="E13" s="387"/>
      <c r="F13" s="388" t="s">
        <v>18</v>
      </c>
      <c r="G13" s="389"/>
      <c r="H13" s="390" t="str">
        <f t="shared" ref="H13:H19" si="5">TEXT(J13+L13+N13,"#,##0")</f>
        <v>604,184</v>
      </c>
      <c r="I13" s="389"/>
      <c r="J13" s="390">
        <f>TRUNC(J14+J15+J16+J17+J18+J19)</f>
        <v>588924</v>
      </c>
      <c r="K13" s="389"/>
      <c r="L13" s="390">
        <f>TRUNC(L14+L15+L16+L17+L18+L19)</f>
        <v>12574</v>
      </c>
      <c r="M13" s="389"/>
      <c r="N13" s="390">
        <f>TRUNC(N14+N15+N16+N17+N18+N19)</f>
        <v>2686</v>
      </c>
      <c r="O13" s="391" t="s">
        <v>78</v>
      </c>
    </row>
    <row r="14" spans="2:15" ht="19.7" customHeight="1">
      <c r="B14" s="392" t="s">
        <v>78</v>
      </c>
      <c r="C14" s="328" t="s">
        <v>85</v>
      </c>
      <c r="D14" s="328" t="s">
        <v>78</v>
      </c>
      <c r="E14" s="393">
        <v>0.69799999999999995</v>
      </c>
      <c r="F14" s="329" t="s">
        <v>67</v>
      </c>
      <c r="G14" s="394">
        <f t="shared" ref="G14:G19" si="6">I14+K14+M14</f>
        <v>201640</v>
      </c>
      <c r="H14" s="395" t="str">
        <f t="shared" si="5"/>
        <v>140,745</v>
      </c>
      <c r="I14" s="396">
        <f>노임단가!L6</f>
        <v>201640</v>
      </c>
      <c r="J14" s="395">
        <f t="shared" ref="J14:J19" si="7">TRUNC(E14*I14,1)</f>
        <v>140744.70000000001</v>
      </c>
      <c r="K14" s="396"/>
      <c r="L14" s="395">
        <f t="shared" ref="L14:L19" si="8">TRUNC(E14*K14,1)</f>
        <v>0</v>
      </c>
      <c r="M14" s="396"/>
      <c r="N14" s="395">
        <f t="shared" ref="N14:N19" si="9">TRUNC(E14*M14,1)</f>
        <v>0</v>
      </c>
      <c r="O14" s="397" t="s">
        <v>78</v>
      </c>
    </row>
    <row r="15" spans="2:15" ht="19.7" customHeight="1">
      <c r="B15" s="392" t="s">
        <v>78</v>
      </c>
      <c r="C15" s="328" t="s">
        <v>6</v>
      </c>
      <c r="D15" s="328" t="s">
        <v>86</v>
      </c>
      <c r="E15" s="393">
        <v>0.31</v>
      </c>
      <c r="F15" s="329" t="s">
        <v>67</v>
      </c>
      <c r="G15" s="394">
        <f t="shared" si="6"/>
        <v>144481</v>
      </c>
      <c r="H15" s="395" t="str">
        <f t="shared" si="5"/>
        <v>44,789</v>
      </c>
      <c r="I15" s="396">
        <f>노임단가!L5</f>
        <v>144481</v>
      </c>
      <c r="J15" s="395">
        <f t="shared" si="7"/>
        <v>44789.1</v>
      </c>
      <c r="K15" s="396"/>
      <c r="L15" s="395">
        <f t="shared" si="8"/>
        <v>0</v>
      </c>
      <c r="M15" s="396"/>
      <c r="N15" s="395">
        <f t="shared" si="9"/>
        <v>0</v>
      </c>
      <c r="O15" s="397" t="s">
        <v>78</v>
      </c>
    </row>
    <row r="16" spans="2:15" ht="19.7" customHeight="1">
      <c r="B16" s="392"/>
      <c r="C16" s="328"/>
      <c r="D16" s="328" t="s">
        <v>87</v>
      </c>
      <c r="E16" s="393">
        <v>2.7919999999999998</v>
      </c>
      <c r="F16" s="329" t="s">
        <v>67</v>
      </c>
      <c r="G16" s="394">
        <f t="shared" si="6"/>
        <v>144481</v>
      </c>
      <c r="H16" s="395" t="str">
        <f t="shared" si="5"/>
        <v>403,391</v>
      </c>
      <c r="I16" s="396">
        <f>노임단가!L5</f>
        <v>144481</v>
      </c>
      <c r="J16" s="395">
        <f t="shared" si="7"/>
        <v>403390.9</v>
      </c>
      <c r="K16" s="396"/>
      <c r="L16" s="395">
        <f t="shared" si="8"/>
        <v>0</v>
      </c>
      <c r="M16" s="396"/>
      <c r="N16" s="395">
        <f t="shared" si="9"/>
        <v>0</v>
      </c>
      <c r="O16" s="397"/>
    </row>
    <row r="17" spans="2:15" ht="19.7" customHeight="1">
      <c r="B17" s="392" t="s">
        <v>78</v>
      </c>
      <c r="C17" s="328" t="s">
        <v>88</v>
      </c>
      <c r="D17" s="328" t="s">
        <v>78</v>
      </c>
      <c r="E17" s="393">
        <v>5.5860000000000003</v>
      </c>
      <c r="F17" s="329" t="s">
        <v>53</v>
      </c>
      <c r="G17" s="394">
        <f t="shared" si="6"/>
        <v>481</v>
      </c>
      <c r="H17" s="395" t="str">
        <f t="shared" si="5"/>
        <v>2,687</v>
      </c>
      <c r="I17" s="396"/>
      <c r="J17" s="395">
        <f t="shared" si="7"/>
        <v>0</v>
      </c>
      <c r="K17" s="396"/>
      <c r="L17" s="395">
        <f t="shared" si="8"/>
        <v>0</v>
      </c>
      <c r="M17" s="396" t="str">
        <f>기계경비총괄표!F4</f>
        <v>481</v>
      </c>
      <c r="N17" s="395">
        <f t="shared" si="9"/>
        <v>2686.8</v>
      </c>
      <c r="O17" s="397" t="s">
        <v>78</v>
      </c>
    </row>
    <row r="18" spans="2:15" ht="19.7" customHeight="1">
      <c r="B18" s="392" t="s">
        <v>78</v>
      </c>
      <c r="C18" s="328" t="s">
        <v>2</v>
      </c>
      <c r="D18" s="328" t="s">
        <v>78</v>
      </c>
      <c r="E18" s="393">
        <v>3.91</v>
      </c>
      <c r="F18" s="329" t="s">
        <v>58</v>
      </c>
      <c r="G18" s="394">
        <f t="shared" si="6"/>
        <v>1650</v>
      </c>
      <c r="H18" s="395" t="str">
        <f t="shared" si="5"/>
        <v>6,452</v>
      </c>
      <c r="I18" s="396"/>
      <c r="J18" s="395">
        <f t="shared" si="7"/>
        <v>0</v>
      </c>
      <c r="K18" s="396">
        <f>자재단가!R5</f>
        <v>1650</v>
      </c>
      <c r="L18" s="395">
        <f t="shared" si="8"/>
        <v>6451.5</v>
      </c>
      <c r="M18" s="396"/>
      <c r="N18" s="395">
        <f t="shared" si="9"/>
        <v>0</v>
      </c>
      <c r="O18" s="397" t="s">
        <v>78</v>
      </c>
    </row>
    <row r="19" spans="2:15" ht="19.7" customHeight="1">
      <c r="B19" s="392" t="s">
        <v>78</v>
      </c>
      <c r="C19" s="328" t="s">
        <v>55</v>
      </c>
      <c r="D19" s="328" t="s">
        <v>40</v>
      </c>
      <c r="E19" s="393">
        <v>1.619</v>
      </c>
      <c r="F19" s="329" t="s">
        <v>58</v>
      </c>
      <c r="G19" s="394">
        <f t="shared" si="6"/>
        <v>3782</v>
      </c>
      <c r="H19" s="395" t="str">
        <f t="shared" si="5"/>
        <v>6,123</v>
      </c>
      <c r="I19" s="396"/>
      <c r="J19" s="395">
        <f t="shared" si="7"/>
        <v>0</v>
      </c>
      <c r="K19" s="396">
        <f>자재단가!R6</f>
        <v>3782</v>
      </c>
      <c r="L19" s="395">
        <f t="shared" si="8"/>
        <v>6123</v>
      </c>
      <c r="M19" s="396"/>
      <c r="N19" s="395">
        <f t="shared" si="9"/>
        <v>0</v>
      </c>
      <c r="O19" s="397" t="s">
        <v>78</v>
      </c>
    </row>
    <row r="20" spans="2:15" ht="19.7" customHeight="1">
      <c r="B20" s="392"/>
      <c r="C20" s="328"/>
      <c r="D20" s="328"/>
      <c r="E20" s="393"/>
      <c r="F20" s="329"/>
      <c r="G20" s="394"/>
      <c r="H20" s="395"/>
      <c r="I20" s="396"/>
      <c r="J20" s="395"/>
      <c r="K20" s="396"/>
      <c r="L20" s="395"/>
      <c r="M20" s="396"/>
      <c r="N20" s="395"/>
      <c r="O20" s="397"/>
    </row>
    <row r="21" spans="2:15" s="383" customFormat="1" ht="19.7" customHeight="1">
      <c r="B21" s="384">
        <f>B13+1</f>
        <v>3</v>
      </c>
      <c r="C21" s="385" t="s">
        <v>84</v>
      </c>
      <c r="D21" s="386" t="s">
        <v>93</v>
      </c>
      <c r="E21" s="387"/>
      <c r="F21" s="388" t="s">
        <v>18</v>
      </c>
      <c r="G21" s="389"/>
      <c r="H21" s="390" t="str">
        <f t="shared" ref="H21:H27" si="10">TEXT(J21+L21+N21,"#,##0")</f>
        <v>875,880</v>
      </c>
      <c r="I21" s="389"/>
      <c r="J21" s="390">
        <f>TRUNC(J22+J23+J24+J25+J26+J27)</f>
        <v>853404</v>
      </c>
      <c r="K21" s="389"/>
      <c r="L21" s="390">
        <f>TRUNC(L22+L23+L24+L25+L26+L27)</f>
        <v>18520</v>
      </c>
      <c r="M21" s="389"/>
      <c r="N21" s="390">
        <f>TRUNC(N22+N23+N24+N25+N26+N27)</f>
        <v>3956</v>
      </c>
      <c r="O21" s="391" t="s">
        <v>78</v>
      </c>
    </row>
    <row r="22" spans="2:15" ht="19.7" customHeight="1">
      <c r="B22" s="392" t="s">
        <v>78</v>
      </c>
      <c r="C22" s="328" t="s">
        <v>85</v>
      </c>
      <c r="D22" s="328" t="s">
        <v>78</v>
      </c>
      <c r="E22" s="393">
        <v>1.028</v>
      </c>
      <c r="F22" s="329" t="s">
        <v>67</v>
      </c>
      <c r="G22" s="394">
        <f t="shared" ref="G22:G27" si="11">I22+K22+M22</f>
        <v>201640</v>
      </c>
      <c r="H22" s="395" t="str">
        <f t="shared" si="10"/>
        <v>207,286</v>
      </c>
      <c r="I22" s="396">
        <f>노임단가!L$6</f>
        <v>201640</v>
      </c>
      <c r="J22" s="395">
        <f t="shared" ref="J22:J27" si="12">TRUNC(E22*I22,1)</f>
        <v>207285.9</v>
      </c>
      <c r="K22" s="396"/>
      <c r="L22" s="395">
        <f t="shared" ref="L22:L27" si="13">TRUNC(E22*K22,1)</f>
        <v>0</v>
      </c>
      <c r="M22" s="396"/>
      <c r="N22" s="395">
        <f t="shared" ref="N22:N27" si="14">TRUNC(E22*M22,1)</f>
        <v>0</v>
      </c>
      <c r="O22" s="397" t="s">
        <v>78</v>
      </c>
    </row>
    <row r="23" spans="2:15" ht="19.7" customHeight="1">
      <c r="B23" s="392" t="s">
        <v>78</v>
      </c>
      <c r="C23" s="328" t="s">
        <v>6</v>
      </c>
      <c r="D23" s="328" t="s">
        <v>86</v>
      </c>
      <c r="E23" s="393">
        <v>0.36</v>
      </c>
      <c r="F23" s="329" t="s">
        <v>67</v>
      </c>
      <c r="G23" s="394">
        <f t="shared" si="11"/>
        <v>144481</v>
      </c>
      <c r="H23" s="395" t="str">
        <f t="shared" si="10"/>
        <v>52,013</v>
      </c>
      <c r="I23" s="396">
        <f>노임단가!L$5</f>
        <v>144481</v>
      </c>
      <c r="J23" s="395">
        <f t="shared" si="12"/>
        <v>52013.1</v>
      </c>
      <c r="K23" s="396"/>
      <c r="L23" s="395">
        <f t="shared" si="13"/>
        <v>0</v>
      </c>
      <c r="M23" s="396"/>
      <c r="N23" s="395">
        <f t="shared" si="14"/>
        <v>0</v>
      </c>
      <c r="O23" s="397" t="s">
        <v>78</v>
      </c>
    </row>
    <row r="24" spans="2:15" ht="19.7" customHeight="1">
      <c r="B24" s="392"/>
      <c r="C24" s="328"/>
      <c r="D24" s="328" t="s">
        <v>87</v>
      </c>
      <c r="E24" s="393">
        <v>4.1120000000000001</v>
      </c>
      <c r="F24" s="329" t="s">
        <v>67</v>
      </c>
      <c r="G24" s="394">
        <f t="shared" si="11"/>
        <v>144481</v>
      </c>
      <c r="H24" s="395" t="str">
        <f t="shared" si="10"/>
        <v>594,106</v>
      </c>
      <c r="I24" s="396">
        <f>노임단가!L$5</f>
        <v>144481</v>
      </c>
      <c r="J24" s="395">
        <f t="shared" si="12"/>
        <v>594105.80000000005</v>
      </c>
      <c r="K24" s="396"/>
      <c r="L24" s="395">
        <f t="shared" si="13"/>
        <v>0</v>
      </c>
      <c r="M24" s="396"/>
      <c r="N24" s="395">
        <f t="shared" si="14"/>
        <v>0</v>
      </c>
      <c r="O24" s="397"/>
    </row>
    <row r="25" spans="2:15" ht="19.7" customHeight="1">
      <c r="B25" s="392" t="s">
        <v>78</v>
      </c>
      <c r="C25" s="328" t="s">
        <v>88</v>
      </c>
      <c r="D25" s="328" t="s">
        <v>78</v>
      </c>
      <c r="E25" s="393">
        <v>8.2260000000000009</v>
      </c>
      <c r="F25" s="329" t="s">
        <v>53</v>
      </c>
      <c r="G25" s="394">
        <f t="shared" si="11"/>
        <v>481</v>
      </c>
      <c r="H25" s="395" t="str">
        <f t="shared" si="10"/>
        <v>3,957</v>
      </c>
      <c r="I25" s="396"/>
      <c r="J25" s="395">
        <f t="shared" si="12"/>
        <v>0</v>
      </c>
      <c r="K25" s="396"/>
      <c r="L25" s="395">
        <f t="shared" si="13"/>
        <v>0</v>
      </c>
      <c r="M25" s="396" t="str">
        <f>기계경비총괄표!F$4</f>
        <v>481</v>
      </c>
      <c r="N25" s="395">
        <f t="shared" si="14"/>
        <v>3956.7</v>
      </c>
      <c r="O25" s="397" t="s">
        <v>78</v>
      </c>
    </row>
    <row r="26" spans="2:15" ht="19.7" customHeight="1">
      <c r="B26" s="392" t="s">
        <v>78</v>
      </c>
      <c r="C26" s="328" t="s">
        <v>2</v>
      </c>
      <c r="D26" s="328" t="s">
        <v>78</v>
      </c>
      <c r="E26" s="393">
        <v>5.758</v>
      </c>
      <c r="F26" s="329" t="s">
        <v>58</v>
      </c>
      <c r="G26" s="394">
        <f t="shared" si="11"/>
        <v>1650</v>
      </c>
      <c r="H26" s="395" t="str">
        <f t="shared" si="10"/>
        <v>9,501</v>
      </c>
      <c r="I26" s="396"/>
      <c r="J26" s="395">
        <f t="shared" si="12"/>
        <v>0</v>
      </c>
      <c r="K26" s="396">
        <f>자재단가!R$5</f>
        <v>1650</v>
      </c>
      <c r="L26" s="395">
        <f t="shared" si="13"/>
        <v>9500.7000000000007</v>
      </c>
      <c r="M26" s="396"/>
      <c r="N26" s="395">
        <f t="shared" si="14"/>
        <v>0</v>
      </c>
      <c r="O26" s="397" t="s">
        <v>78</v>
      </c>
    </row>
    <row r="27" spans="2:15" ht="19.7" customHeight="1">
      <c r="B27" s="392" t="s">
        <v>78</v>
      </c>
      <c r="C27" s="328" t="s">
        <v>55</v>
      </c>
      <c r="D27" s="328" t="s">
        <v>40</v>
      </c>
      <c r="E27" s="393">
        <v>2.3849999999999998</v>
      </c>
      <c r="F27" s="329" t="s">
        <v>58</v>
      </c>
      <c r="G27" s="394">
        <f t="shared" si="11"/>
        <v>3782</v>
      </c>
      <c r="H27" s="395" t="str">
        <f t="shared" si="10"/>
        <v>9,020</v>
      </c>
      <c r="I27" s="396"/>
      <c r="J27" s="395">
        <f t="shared" si="12"/>
        <v>0</v>
      </c>
      <c r="K27" s="396">
        <f>자재단가!R$6</f>
        <v>3782</v>
      </c>
      <c r="L27" s="395">
        <f t="shared" si="13"/>
        <v>9020</v>
      </c>
      <c r="M27" s="396"/>
      <c r="N27" s="395">
        <f t="shared" si="14"/>
        <v>0</v>
      </c>
      <c r="O27" s="397" t="s">
        <v>78</v>
      </c>
    </row>
    <row r="28" spans="2:15" ht="19.7" customHeight="1">
      <c r="B28" s="392"/>
      <c r="C28" s="328"/>
      <c r="D28" s="328"/>
      <c r="E28" s="393"/>
      <c r="F28" s="329"/>
      <c r="G28" s="394"/>
      <c r="H28" s="395"/>
      <c r="I28" s="396"/>
      <c r="J28" s="395"/>
      <c r="K28" s="396"/>
      <c r="L28" s="395"/>
      <c r="M28" s="396"/>
      <c r="N28" s="395"/>
      <c r="O28" s="397"/>
    </row>
    <row r="29" spans="2:15" s="383" customFormat="1" ht="19.7" customHeight="1">
      <c r="B29" s="384">
        <f>B21+1</f>
        <v>4</v>
      </c>
      <c r="C29" s="385" t="s">
        <v>84</v>
      </c>
      <c r="D29" s="386" t="s">
        <v>187</v>
      </c>
      <c r="E29" s="387"/>
      <c r="F29" s="388" t="s">
        <v>18</v>
      </c>
      <c r="G29" s="389"/>
      <c r="H29" s="390" t="str">
        <f t="shared" ref="H29:H35" si="15">TEXT(J29+L29+N29,"#,##0")</f>
        <v>1,075,040</v>
      </c>
      <c r="I29" s="389"/>
      <c r="J29" s="390">
        <f>TRUNC(J30+J31+J32+J33+J34+J35)</f>
        <v>1047260</v>
      </c>
      <c r="K29" s="389"/>
      <c r="L29" s="390">
        <f>TRUNC(L30+L31+L32+L33+L34+L35)</f>
        <v>22890</v>
      </c>
      <c r="M29" s="389"/>
      <c r="N29" s="390">
        <f>TRUNC(N30+N31+N32+N33+N34+N35)</f>
        <v>4890</v>
      </c>
      <c r="O29" s="391" t="s">
        <v>78</v>
      </c>
    </row>
    <row r="30" spans="2:15" ht="19.7" customHeight="1">
      <c r="B30" s="392" t="s">
        <v>78</v>
      </c>
      <c r="C30" s="328" t="s">
        <v>85</v>
      </c>
      <c r="D30" s="328" t="s">
        <v>78</v>
      </c>
      <c r="E30" s="393">
        <v>1.27</v>
      </c>
      <c r="F30" s="329" t="s">
        <v>67</v>
      </c>
      <c r="G30" s="394">
        <f t="shared" ref="G30:G35" si="16">I30+K30+M30</f>
        <v>201640</v>
      </c>
      <c r="H30" s="395" t="str">
        <f t="shared" si="15"/>
        <v>256,083</v>
      </c>
      <c r="I30" s="396">
        <f>노임단가!L$6</f>
        <v>201640</v>
      </c>
      <c r="J30" s="395">
        <f t="shared" ref="J30:J35" si="17">TRUNC(E30*I30,1)</f>
        <v>256082.8</v>
      </c>
      <c r="K30" s="396"/>
      <c r="L30" s="395">
        <f t="shared" ref="L30:L35" si="18">TRUNC(E30*K30,1)</f>
        <v>0</v>
      </c>
      <c r="M30" s="396"/>
      <c r="N30" s="395">
        <f t="shared" ref="N30:N35" si="19">TRUNC(E30*M30,1)</f>
        <v>0</v>
      </c>
      <c r="O30" s="397" t="s">
        <v>78</v>
      </c>
    </row>
    <row r="31" spans="2:15" ht="19.7" customHeight="1">
      <c r="B31" s="392" t="s">
        <v>78</v>
      </c>
      <c r="C31" s="328" t="s">
        <v>6</v>
      </c>
      <c r="D31" s="328" t="s">
        <v>86</v>
      </c>
      <c r="E31" s="393">
        <v>0.39600000000000002</v>
      </c>
      <c r="F31" s="329" t="s">
        <v>67</v>
      </c>
      <c r="G31" s="394">
        <f t="shared" si="16"/>
        <v>144481</v>
      </c>
      <c r="H31" s="395" t="str">
        <f t="shared" si="15"/>
        <v>57,214</v>
      </c>
      <c r="I31" s="396">
        <f>노임단가!L$5</f>
        <v>144481</v>
      </c>
      <c r="J31" s="395">
        <f t="shared" si="17"/>
        <v>57214.400000000001</v>
      </c>
      <c r="K31" s="396"/>
      <c r="L31" s="395">
        <f t="shared" si="18"/>
        <v>0</v>
      </c>
      <c r="M31" s="396"/>
      <c r="N31" s="395">
        <f t="shared" si="19"/>
        <v>0</v>
      </c>
      <c r="O31" s="397" t="s">
        <v>78</v>
      </c>
    </row>
    <row r="32" spans="2:15" ht="19.7" customHeight="1">
      <c r="B32" s="392"/>
      <c r="C32" s="328"/>
      <c r="D32" s="328" t="s">
        <v>87</v>
      </c>
      <c r="E32" s="393">
        <v>5.08</v>
      </c>
      <c r="F32" s="329" t="s">
        <v>67</v>
      </c>
      <c r="G32" s="394">
        <f t="shared" si="16"/>
        <v>144481</v>
      </c>
      <c r="H32" s="395" t="str">
        <f t="shared" si="15"/>
        <v>733,963</v>
      </c>
      <c r="I32" s="396">
        <f>노임단가!L$5</f>
        <v>144481</v>
      </c>
      <c r="J32" s="395">
        <f t="shared" si="17"/>
        <v>733963.4</v>
      </c>
      <c r="K32" s="396"/>
      <c r="L32" s="395">
        <f t="shared" si="18"/>
        <v>0</v>
      </c>
      <c r="M32" s="396"/>
      <c r="N32" s="395">
        <f t="shared" si="19"/>
        <v>0</v>
      </c>
      <c r="O32" s="397"/>
    </row>
    <row r="33" spans="2:15" ht="19.7" customHeight="1">
      <c r="B33" s="392" t="s">
        <v>78</v>
      </c>
      <c r="C33" s="328" t="s">
        <v>88</v>
      </c>
      <c r="D33" s="328" t="s">
        <v>78</v>
      </c>
      <c r="E33" s="393">
        <v>10.167</v>
      </c>
      <c r="F33" s="329" t="s">
        <v>53</v>
      </c>
      <c r="G33" s="394">
        <f t="shared" si="16"/>
        <v>481</v>
      </c>
      <c r="H33" s="395" t="str">
        <f t="shared" si="15"/>
        <v>4,890</v>
      </c>
      <c r="I33" s="396"/>
      <c r="J33" s="395">
        <f t="shared" si="17"/>
        <v>0</v>
      </c>
      <c r="K33" s="396"/>
      <c r="L33" s="395">
        <f t="shared" si="18"/>
        <v>0</v>
      </c>
      <c r="M33" s="396" t="str">
        <f>기계경비총괄표!F$4</f>
        <v>481</v>
      </c>
      <c r="N33" s="395">
        <f t="shared" si="19"/>
        <v>4890.3</v>
      </c>
      <c r="O33" s="397" t="s">
        <v>78</v>
      </c>
    </row>
    <row r="34" spans="2:15" ht="19.7" customHeight="1">
      <c r="B34" s="392" t="s">
        <v>78</v>
      </c>
      <c r="C34" s="328" t="s">
        <v>2</v>
      </c>
      <c r="D34" s="328" t="s">
        <v>78</v>
      </c>
      <c r="E34" s="393">
        <v>7.1159999999999997</v>
      </c>
      <c r="F34" s="329" t="s">
        <v>58</v>
      </c>
      <c r="G34" s="394">
        <f t="shared" si="16"/>
        <v>1650</v>
      </c>
      <c r="H34" s="395" t="str">
        <f t="shared" si="15"/>
        <v>11,741</v>
      </c>
      <c r="I34" s="396"/>
      <c r="J34" s="395">
        <f t="shared" si="17"/>
        <v>0</v>
      </c>
      <c r="K34" s="396">
        <f>자재단가!R$5</f>
        <v>1650</v>
      </c>
      <c r="L34" s="395">
        <f t="shared" si="18"/>
        <v>11741.4</v>
      </c>
      <c r="M34" s="396"/>
      <c r="N34" s="395">
        <f t="shared" si="19"/>
        <v>0</v>
      </c>
      <c r="O34" s="397" t="s">
        <v>78</v>
      </c>
    </row>
    <row r="35" spans="2:15" ht="19.7" customHeight="1">
      <c r="B35" s="392" t="s">
        <v>78</v>
      </c>
      <c r="C35" s="328" t="s">
        <v>55</v>
      </c>
      <c r="D35" s="328" t="s">
        <v>40</v>
      </c>
      <c r="E35" s="393">
        <v>2.948</v>
      </c>
      <c r="F35" s="329" t="s">
        <v>58</v>
      </c>
      <c r="G35" s="394">
        <f t="shared" si="16"/>
        <v>3782</v>
      </c>
      <c r="H35" s="395" t="str">
        <f t="shared" si="15"/>
        <v>11,149</v>
      </c>
      <c r="I35" s="396"/>
      <c r="J35" s="395">
        <f t="shared" si="17"/>
        <v>0</v>
      </c>
      <c r="K35" s="396">
        <f>자재단가!R$6</f>
        <v>3782</v>
      </c>
      <c r="L35" s="395">
        <f t="shared" si="18"/>
        <v>11149.3</v>
      </c>
      <c r="M35" s="396"/>
      <c r="N35" s="395">
        <f t="shared" si="19"/>
        <v>0</v>
      </c>
      <c r="O35" s="397" t="s">
        <v>78</v>
      </c>
    </row>
    <row r="36" spans="2:15" ht="19.7" customHeight="1">
      <c r="B36" s="392"/>
      <c r="C36" s="328"/>
      <c r="D36" s="328"/>
      <c r="E36" s="393"/>
      <c r="F36" s="329"/>
      <c r="G36" s="394"/>
      <c r="H36" s="395"/>
      <c r="I36" s="396"/>
      <c r="J36" s="395"/>
      <c r="K36" s="396"/>
      <c r="L36" s="395"/>
      <c r="M36" s="396"/>
      <c r="N36" s="395"/>
      <c r="O36" s="397"/>
    </row>
    <row r="37" spans="2:15" s="383" customFormat="1" ht="19.7" customHeight="1">
      <c r="B37" s="384">
        <f>B29+1</f>
        <v>5</v>
      </c>
      <c r="C37" s="385" t="s">
        <v>84</v>
      </c>
      <c r="D37" s="386" t="s">
        <v>170</v>
      </c>
      <c r="E37" s="387"/>
      <c r="F37" s="388" t="s">
        <v>18</v>
      </c>
      <c r="G37" s="389"/>
      <c r="H37" s="390" t="str">
        <f t="shared" ref="H37:H43" si="20">TEXT(J37+L37+N37,"#,##0")</f>
        <v>1,371,958</v>
      </c>
      <c r="I37" s="389"/>
      <c r="J37" s="390">
        <f>TRUNC(J38+J39+J40+J41+J42+J43)</f>
        <v>1336223</v>
      </c>
      <c r="K37" s="389"/>
      <c r="L37" s="390">
        <f>TRUNC(L38+L39+L40+L41+L42+L43)</f>
        <v>29445</v>
      </c>
      <c r="M37" s="389"/>
      <c r="N37" s="390">
        <f>TRUNC(N38+N39+N40+N41+N42+N43)</f>
        <v>6290</v>
      </c>
      <c r="O37" s="391" t="s">
        <v>78</v>
      </c>
    </row>
    <row r="38" spans="2:15" ht="19.7" customHeight="1">
      <c r="B38" s="392" t="s">
        <v>78</v>
      </c>
      <c r="C38" s="328" t="s">
        <v>85</v>
      </c>
      <c r="D38" s="328" t="s">
        <v>78</v>
      </c>
      <c r="E38" s="393">
        <v>1.6339999999999999</v>
      </c>
      <c r="F38" s="329" t="s">
        <v>67</v>
      </c>
      <c r="G38" s="394">
        <f t="shared" ref="G38:G43" si="21">I38+K38+M38</f>
        <v>201640</v>
      </c>
      <c r="H38" s="395" t="str">
        <f t="shared" si="20"/>
        <v>329,480</v>
      </c>
      <c r="I38" s="396">
        <f>노임단가!L6</f>
        <v>201640</v>
      </c>
      <c r="J38" s="395">
        <f t="shared" ref="J38:J43" si="22">TRUNC(E38*I38,1)</f>
        <v>329479.7</v>
      </c>
      <c r="K38" s="396"/>
      <c r="L38" s="395">
        <f t="shared" ref="L38:L43" si="23">TRUNC(E38*K38,1)</f>
        <v>0</v>
      </c>
      <c r="M38" s="396"/>
      <c r="N38" s="395">
        <f t="shared" ref="N38:N43" si="24">TRUNC(E38*M38,1)</f>
        <v>0</v>
      </c>
      <c r="O38" s="397" t="s">
        <v>78</v>
      </c>
    </row>
    <row r="39" spans="2:15" ht="19.7" customHeight="1">
      <c r="B39" s="392" t="s">
        <v>78</v>
      </c>
      <c r="C39" s="328" t="s">
        <v>6</v>
      </c>
      <c r="D39" s="328" t="s">
        <v>86</v>
      </c>
      <c r="E39" s="393">
        <v>0.432</v>
      </c>
      <c r="F39" s="329" t="s">
        <v>67</v>
      </c>
      <c r="G39" s="394">
        <f t="shared" si="21"/>
        <v>144481</v>
      </c>
      <c r="H39" s="395" t="str">
        <f t="shared" si="20"/>
        <v>62,416</v>
      </c>
      <c r="I39" s="396">
        <f>노임단가!L5</f>
        <v>144481</v>
      </c>
      <c r="J39" s="395">
        <f t="shared" si="22"/>
        <v>62415.7</v>
      </c>
      <c r="K39" s="396"/>
      <c r="L39" s="395">
        <f t="shared" si="23"/>
        <v>0</v>
      </c>
      <c r="M39" s="396"/>
      <c r="N39" s="395">
        <f t="shared" si="24"/>
        <v>0</v>
      </c>
      <c r="O39" s="397" t="s">
        <v>78</v>
      </c>
    </row>
    <row r="40" spans="2:15" ht="19.7" customHeight="1">
      <c r="B40" s="392"/>
      <c r="C40" s="328"/>
      <c r="D40" s="328" t="s">
        <v>87</v>
      </c>
      <c r="E40" s="393">
        <v>6.5359999999999996</v>
      </c>
      <c r="F40" s="329" t="s">
        <v>67</v>
      </c>
      <c r="G40" s="394">
        <f t="shared" si="21"/>
        <v>144481</v>
      </c>
      <c r="H40" s="395" t="str">
        <f t="shared" si="20"/>
        <v>944,328</v>
      </c>
      <c r="I40" s="396">
        <f>노임단가!L5</f>
        <v>144481</v>
      </c>
      <c r="J40" s="395">
        <f t="shared" si="22"/>
        <v>944327.8</v>
      </c>
      <c r="K40" s="396"/>
      <c r="L40" s="395">
        <f t="shared" si="23"/>
        <v>0</v>
      </c>
      <c r="M40" s="396"/>
      <c r="N40" s="395">
        <f t="shared" si="24"/>
        <v>0</v>
      </c>
      <c r="O40" s="397"/>
    </row>
    <row r="41" spans="2:15" ht="19.7" customHeight="1">
      <c r="B41" s="392" t="s">
        <v>78</v>
      </c>
      <c r="C41" s="328" t="s">
        <v>88</v>
      </c>
      <c r="D41" s="328" t="s">
        <v>78</v>
      </c>
      <c r="E41" s="393">
        <v>13.077999999999999</v>
      </c>
      <c r="F41" s="329" t="s">
        <v>53</v>
      </c>
      <c r="G41" s="394">
        <f t="shared" si="21"/>
        <v>481</v>
      </c>
      <c r="H41" s="395" t="str">
        <f t="shared" si="20"/>
        <v>6,291</v>
      </c>
      <c r="I41" s="396"/>
      <c r="J41" s="395">
        <f t="shared" si="22"/>
        <v>0</v>
      </c>
      <c r="K41" s="396"/>
      <c r="L41" s="395">
        <f t="shared" si="23"/>
        <v>0</v>
      </c>
      <c r="M41" s="396" t="str">
        <f>기계경비총괄표!F4</f>
        <v>481</v>
      </c>
      <c r="N41" s="395">
        <f t="shared" si="24"/>
        <v>6290.5</v>
      </c>
      <c r="O41" s="397" t="s">
        <v>78</v>
      </c>
    </row>
    <row r="42" spans="2:15" ht="19.7" customHeight="1">
      <c r="B42" s="392" t="s">
        <v>78</v>
      </c>
      <c r="C42" s="328" t="s">
        <v>2</v>
      </c>
      <c r="D42" s="328" t="s">
        <v>78</v>
      </c>
      <c r="E42" s="393">
        <v>9.1539999999999999</v>
      </c>
      <c r="F42" s="329" t="s">
        <v>58</v>
      </c>
      <c r="G42" s="394">
        <f t="shared" si="21"/>
        <v>1650</v>
      </c>
      <c r="H42" s="395" t="str">
        <f t="shared" si="20"/>
        <v>15,104</v>
      </c>
      <c r="I42" s="396"/>
      <c r="J42" s="395">
        <f t="shared" si="22"/>
        <v>0</v>
      </c>
      <c r="K42" s="396">
        <f>자재단가!R5</f>
        <v>1650</v>
      </c>
      <c r="L42" s="395">
        <f t="shared" si="23"/>
        <v>15104.1</v>
      </c>
      <c r="M42" s="396"/>
      <c r="N42" s="395">
        <f t="shared" si="24"/>
        <v>0</v>
      </c>
      <c r="O42" s="397" t="s">
        <v>78</v>
      </c>
    </row>
    <row r="43" spans="2:15" ht="19.7" customHeight="1">
      <c r="B43" s="392" t="s">
        <v>78</v>
      </c>
      <c r="C43" s="328" t="s">
        <v>55</v>
      </c>
      <c r="D43" s="328" t="s">
        <v>40</v>
      </c>
      <c r="E43" s="393">
        <v>3.7919999999999998</v>
      </c>
      <c r="F43" s="329" t="s">
        <v>58</v>
      </c>
      <c r="G43" s="394">
        <f t="shared" si="21"/>
        <v>3782</v>
      </c>
      <c r="H43" s="395" t="str">
        <f t="shared" si="20"/>
        <v>14,341</v>
      </c>
      <c r="I43" s="396"/>
      <c r="J43" s="395">
        <f t="shared" si="22"/>
        <v>0</v>
      </c>
      <c r="K43" s="396">
        <f>자재단가!R6</f>
        <v>3782</v>
      </c>
      <c r="L43" s="395">
        <f t="shared" si="23"/>
        <v>14341.3</v>
      </c>
      <c r="M43" s="396"/>
      <c r="N43" s="395">
        <f t="shared" si="24"/>
        <v>0</v>
      </c>
      <c r="O43" s="397" t="s">
        <v>78</v>
      </c>
    </row>
    <row r="44" spans="2:15" ht="19.7" customHeight="1">
      <c r="B44" s="392"/>
      <c r="C44" s="328"/>
      <c r="D44" s="328"/>
      <c r="E44" s="330"/>
      <c r="F44" s="329"/>
      <c r="G44" s="394"/>
      <c r="H44" s="330"/>
      <c r="I44" s="394"/>
      <c r="J44" s="378"/>
      <c r="K44" s="394"/>
      <c r="L44" s="378"/>
      <c r="M44" s="394"/>
      <c r="N44" s="378"/>
      <c r="O44" s="397"/>
    </row>
    <row r="45" spans="2:15" s="383" customFormat="1" ht="19.7" customHeight="1">
      <c r="B45" s="384">
        <f>B37+1</f>
        <v>6</v>
      </c>
      <c r="C45" s="385" t="s">
        <v>84</v>
      </c>
      <c r="D45" s="386" t="s">
        <v>188</v>
      </c>
      <c r="E45" s="387"/>
      <c r="F45" s="388" t="s">
        <v>18</v>
      </c>
      <c r="G45" s="389"/>
      <c r="H45" s="390" t="str">
        <f t="shared" ref="H45:H51" si="25">TEXT(J45+L45+N45,"#,##0")</f>
        <v>1,571,899</v>
      </c>
      <c r="I45" s="389"/>
      <c r="J45" s="390">
        <f>TRUNC(J46+J47+J48+J49+J50+J51)</f>
        <v>1530858</v>
      </c>
      <c r="K45" s="389"/>
      <c r="L45" s="390">
        <f>TRUNC(L46+L47+L48+L49+L50+L51)</f>
        <v>33817</v>
      </c>
      <c r="M45" s="389"/>
      <c r="N45" s="390">
        <f>TRUNC(N46+N47+N48+N49+N50+N51)</f>
        <v>7224</v>
      </c>
      <c r="O45" s="391" t="s">
        <v>78</v>
      </c>
    </row>
    <row r="46" spans="2:15" ht="19.7" customHeight="1">
      <c r="B46" s="392" t="s">
        <v>78</v>
      </c>
      <c r="C46" s="328" t="s">
        <v>85</v>
      </c>
      <c r="D46" s="328" t="s">
        <v>78</v>
      </c>
      <c r="E46" s="393">
        <v>1.877</v>
      </c>
      <c r="F46" s="329" t="s">
        <v>67</v>
      </c>
      <c r="G46" s="394">
        <f t="shared" ref="G46:G51" si="26">I46+K46+M46</f>
        <v>201640</v>
      </c>
      <c r="H46" s="395" t="str">
        <f t="shared" si="25"/>
        <v>378,478</v>
      </c>
      <c r="I46" s="396">
        <f>노임단가!L$6</f>
        <v>201640</v>
      </c>
      <c r="J46" s="395">
        <f t="shared" ref="J46:J51" si="27">TRUNC(E46*I46,1)</f>
        <v>378478.2</v>
      </c>
      <c r="K46" s="396"/>
      <c r="L46" s="395">
        <f t="shared" ref="L46:L51" si="28">TRUNC(E46*K46,1)</f>
        <v>0</v>
      </c>
      <c r="M46" s="396"/>
      <c r="N46" s="395">
        <f t="shared" ref="N46:N51" si="29">TRUNC(E46*M46,1)</f>
        <v>0</v>
      </c>
      <c r="O46" s="397" t="s">
        <v>78</v>
      </c>
    </row>
    <row r="47" spans="2:15" ht="19.7" customHeight="1">
      <c r="B47" s="392" t="s">
        <v>78</v>
      </c>
      <c r="C47" s="328" t="s">
        <v>6</v>
      </c>
      <c r="D47" s="328" t="s">
        <v>86</v>
      </c>
      <c r="E47" s="393">
        <v>0.46800000000000003</v>
      </c>
      <c r="F47" s="329" t="s">
        <v>67</v>
      </c>
      <c r="G47" s="394">
        <f t="shared" si="26"/>
        <v>144481</v>
      </c>
      <c r="H47" s="395" t="str">
        <f t="shared" si="25"/>
        <v>67,617</v>
      </c>
      <c r="I47" s="396">
        <f>노임단가!L$5</f>
        <v>144481</v>
      </c>
      <c r="J47" s="395">
        <f t="shared" si="27"/>
        <v>67617.100000000006</v>
      </c>
      <c r="K47" s="396"/>
      <c r="L47" s="395">
        <f t="shared" si="28"/>
        <v>0</v>
      </c>
      <c r="M47" s="396"/>
      <c r="N47" s="395">
        <f t="shared" si="29"/>
        <v>0</v>
      </c>
      <c r="O47" s="397" t="s">
        <v>78</v>
      </c>
    </row>
    <row r="48" spans="2:15" ht="19.7" customHeight="1">
      <c r="B48" s="392"/>
      <c r="C48" s="328"/>
      <c r="D48" s="328" t="s">
        <v>87</v>
      </c>
      <c r="E48" s="393">
        <v>7.508</v>
      </c>
      <c r="F48" s="329" t="s">
        <v>67</v>
      </c>
      <c r="G48" s="394">
        <f t="shared" si="26"/>
        <v>144481</v>
      </c>
      <c r="H48" s="395" t="str">
        <f t="shared" si="25"/>
        <v>1,084,763</v>
      </c>
      <c r="I48" s="396">
        <f>노임단가!L$5</f>
        <v>144481</v>
      </c>
      <c r="J48" s="395">
        <f t="shared" si="27"/>
        <v>1084763.3</v>
      </c>
      <c r="K48" s="396"/>
      <c r="L48" s="395">
        <f t="shared" si="28"/>
        <v>0</v>
      </c>
      <c r="M48" s="396"/>
      <c r="N48" s="395">
        <f t="shared" si="29"/>
        <v>0</v>
      </c>
      <c r="O48" s="397"/>
    </row>
    <row r="49" spans="2:17" ht="19.7" customHeight="1">
      <c r="B49" s="392" t="s">
        <v>78</v>
      </c>
      <c r="C49" s="328" t="s">
        <v>88</v>
      </c>
      <c r="D49" s="328" t="s">
        <v>78</v>
      </c>
      <c r="E49" s="393">
        <v>15.019</v>
      </c>
      <c r="F49" s="329" t="s">
        <v>53</v>
      </c>
      <c r="G49" s="394">
        <f t="shared" si="26"/>
        <v>481</v>
      </c>
      <c r="H49" s="395" t="str">
        <f t="shared" si="25"/>
        <v>7,224</v>
      </c>
      <c r="I49" s="396"/>
      <c r="J49" s="395">
        <f t="shared" si="27"/>
        <v>0</v>
      </c>
      <c r="K49" s="396"/>
      <c r="L49" s="395">
        <f t="shared" si="28"/>
        <v>0</v>
      </c>
      <c r="M49" s="396" t="str">
        <f>기계경비총괄표!F$4</f>
        <v>481</v>
      </c>
      <c r="N49" s="395">
        <f t="shared" si="29"/>
        <v>7224.1</v>
      </c>
      <c r="O49" s="397" t="s">
        <v>78</v>
      </c>
    </row>
    <row r="50" spans="2:17" ht="19.7" customHeight="1">
      <c r="B50" s="392" t="s">
        <v>78</v>
      </c>
      <c r="C50" s="328" t="s">
        <v>2</v>
      </c>
      <c r="D50" s="328" t="s">
        <v>78</v>
      </c>
      <c r="E50" s="393">
        <v>10.513</v>
      </c>
      <c r="F50" s="329" t="s">
        <v>58</v>
      </c>
      <c r="G50" s="394">
        <f t="shared" si="26"/>
        <v>1650</v>
      </c>
      <c r="H50" s="395" t="str">
        <f t="shared" si="25"/>
        <v>17,346</v>
      </c>
      <c r="I50" s="396"/>
      <c r="J50" s="395">
        <f t="shared" si="27"/>
        <v>0</v>
      </c>
      <c r="K50" s="396">
        <f>자재단가!R$5</f>
        <v>1650</v>
      </c>
      <c r="L50" s="395">
        <f t="shared" si="28"/>
        <v>17346.400000000001</v>
      </c>
      <c r="M50" s="396"/>
      <c r="N50" s="395">
        <f t="shared" si="29"/>
        <v>0</v>
      </c>
      <c r="O50" s="397" t="s">
        <v>78</v>
      </c>
    </row>
    <row r="51" spans="2:17" ht="19.7" customHeight="1">
      <c r="B51" s="392" t="s">
        <v>78</v>
      </c>
      <c r="C51" s="328" t="s">
        <v>55</v>
      </c>
      <c r="D51" s="328" t="s">
        <v>40</v>
      </c>
      <c r="E51" s="393">
        <v>4.3550000000000004</v>
      </c>
      <c r="F51" s="329" t="s">
        <v>58</v>
      </c>
      <c r="G51" s="394">
        <f t="shared" si="26"/>
        <v>3782</v>
      </c>
      <c r="H51" s="395" t="str">
        <f t="shared" si="25"/>
        <v>16,471</v>
      </c>
      <c r="I51" s="396"/>
      <c r="J51" s="395">
        <f t="shared" si="27"/>
        <v>0</v>
      </c>
      <c r="K51" s="396">
        <f>자재단가!R$6</f>
        <v>3782</v>
      </c>
      <c r="L51" s="395">
        <f t="shared" si="28"/>
        <v>16470.599999999999</v>
      </c>
      <c r="M51" s="396"/>
      <c r="N51" s="395">
        <f t="shared" si="29"/>
        <v>0</v>
      </c>
      <c r="O51" s="397" t="s">
        <v>78</v>
      </c>
    </row>
    <row r="52" spans="2:17" ht="19.7" customHeight="1">
      <c r="B52" s="392"/>
      <c r="C52" s="328"/>
      <c r="D52" s="328"/>
      <c r="E52" s="330"/>
      <c r="F52" s="329"/>
      <c r="G52" s="394"/>
      <c r="H52" s="330"/>
      <c r="I52" s="394"/>
      <c r="J52" s="378"/>
      <c r="K52" s="394"/>
      <c r="L52" s="378"/>
      <c r="M52" s="394"/>
      <c r="N52" s="378"/>
      <c r="O52" s="397"/>
    </row>
    <row r="53" spans="2:17" s="383" customFormat="1" ht="19.7" customHeight="1">
      <c r="B53" s="480">
        <f>B45+1</f>
        <v>7</v>
      </c>
      <c r="C53" s="385" t="s">
        <v>84</v>
      </c>
      <c r="D53" s="386" t="s">
        <v>171</v>
      </c>
      <c r="E53" s="387"/>
      <c r="F53" s="388" t="s">
        <v>18</v>
      </c>
      <c r="G53" s="389"/>
      <c r="H53" s="390" t="str">
        <f t="shared" ref="H53:H59" si="30">TEXT(J53+L53+N53,"#,##0")</f>
        <v>3,342,261</v>
      </c>
      <c r="I53" s="389"/>
      <c r="J53" s="390">
        <f>TRUNC(J54+J55+J56+J57+J58+J59)</f>
        <v>3254998</v>
      </c>
      <c r="K53" s="389"/>
      <c r="L53" s="390">
        <f>TRUNC(L54+L55+L56+L57+L58+L59)</f>
        <v>71903</v>
      </c>
      <c r="M53" s="389"/>
      <c r="N53" s="390">
        <f>TRUNC(N54+N55+N56+N57+N58+N59)</f>
        <v>15360</v>
      </c>
      <c r="O53" s="391" t="s">
        <v>78</v>
      </c>
    </row>
    <row r="54" spans="2:17" ht="19.7" customHeight="1">
      <c r="B54" s="392" t="s">
        <v>78</v>
      </c>
      <c r="C54" s="328" t="s">
        <v>85</v>
      </c>
      <c r="D54" s="328" t="s">
        <v>78</v>
      </c>
      <c r="E54" s="482">
        <f>ROUND(임목폐기물수량산출!M12/1.4,3)</f>
        <v>3.9910000000000001</v>
      </c>
      <c r="F54" s="329" t="s">
        <v>67</v>
      </c>
      <c r="G54" s="394">
        <f t="shared" ref="G54:G59" si="31">I54+K54+M54</f>
        <v>201640</v>
      </c>
      <c r="H54" s="395" t="str">
        <f t="shared" si="30"/>
        <v>804,745</v>
      </c>
      <c r="I54" s="396">
        <f>노임단가!L6</f>
        <v>201640</v>
      </c>
      <c r="J54" s="395">
        <f t="shared" ref="J54:J59" si="32">TRUNC(E54*I54,1)</f>
        <v>804745.2</v>
      </c>
      <c r="K54" s="396"/>
      <c r="L54" s="395">
        <f t="shared" ref="L54:L59" si="33">TRUNC(E54*K54,1)</f>
        <v>0</v>
      </c>
      <c r="M54" s="396"/>
      <c r="N54" s="395">
        <f t="shared" ref="N54:N59" si="34">TRUNC(E54*M54,1)</f>
        <v>0</v>
      </c>
      <c r="O54" s="397" t="s">
        <v>78</v>
      </c>
      <c r="Q54" s="316">
        <v>3.9910000000000001</v>
      </c>
    </row>
    <row r="55" spans="2:17" ht="19.7" customHeight="1">
      <c r="B55" s="392" t="s">
        <v>78</v>
      </c>
      <c r="C55" s="328" t="s">
        <v>6</v>
      </c>
      <c r="D55" s="328" t="s">
        <v>86</v>
      </c>
      <c r="E55" s="481">
        <f>TRUNC((E47/E46)*E54,3)</f>
        <v>0.995</v>
      </c>
      <c r="F55" s="329" t="s">
        <v>67</v>
      </c>
      <c r="G55" s="394">
        <f t="shared" si="31"/>
        <v>144481</v>
      </c>
      <c r="H55" s="395" t="str">
        <f t="shared" si="30"/>
        <v>143,759</v>
      </c>
      <c r="I55" s="396">
        <f>노임단가!L5</f>
        <v>144481</v>
      </c>
      <c r="J55" s="395">
        <f t="shared" si="32"/>
        <v>143758.5</v>
      </c>
      <c r="K55" s="396"/>
      <c r="L55" s="395">
        <f t="shared" si="33"/>
        <v>0</v>
      </c>
      <c r="M55" s="396"/>
      <c r="N55" s="395">
        <f t="shared" si="34"/>
        <v>0</v>
      </c>
      <c r="O55" s="397" t="s">
        <v>78</v>
      </c>
      <c r="Q55" s="316">
        <v>0.995</v>
      </c>
    </row>
    <row r="56" spans="2:17" ht="19.7" customHeight="1">
      <c r="B56" s="392"/>
      <c r="C56" s="328"/>
      <c r="D56" s="328" t="s">
        <v>87</v>
      </c>
      <c r="E56" s="481">
        <f>TRUNC((E48/E46)*E54,3)</f>
        <v>15.964</v>
      </c>
      <c r="F56" s="329" t="s">
        <v>67</v>
      </c>
      <c r="G56" s="394">
        <f t="shared" si="31"/>
        <v>144481</v>
      </c>
      <c r="H56" s="395" t="str">
        <f t="shared" si="30"/>
        <v>2,306,495</v>
      </c>
      <c r="I56" s="396">
        <f>노임단가!L5</f>
        <v>144481</v>
      </c>
      <c r="J56" s="395">
        <f t="shared" si="32"/>
        <v>2306494.6</v>
      </c>
      <c r="K56" s="396"/>
      <c r="L56" s="395">
        <f t="shared" si="33"/>
        <v>0</v>
      </c>
      <c r="M56" s="396"/>
      <c r="N56" s="395">
        <f t="shared" si="34"/>
        <v>0</v>
      </c>
      <c r="O56" s="397"/>
      <c r="Q56" s="316">
        <v>15.964</v>
      </c>
    </row>
    <row r="57" spans="2:17" ht="19.7" customHeight="1">
      <c r="B57" s="392" t="s">
        <v>78</v>
      </c>
      <c r="C57" s="328" t="s">
        <v>88</v>
      </c>
      <c r="D57" s="328" t="s">
        <v>78</v>
      </c>
      <c r="E57" s="393">
        <v>31.934000000000001</v>
      </c>
      <c r="F57" s="329" t="s">
        <v>53</v>
      </c>
      <c r="G57" s="394">
        <f t="shared" si="31"/>
        <v>481</v>
      </c>
      <c r="H57" s="395" t="str">
        <f t="shared" si="30"/>
        <v>15,360</v>
      </c>
      <c r="I57" s="396"/>
      <c r="J57" s="395">
        <f t="shared" si="32"/>
        <v>0</v>
      </c>
      <c r="K57" s="396"/>
      <c r="L57" s="395">
        <f t="shared" si="33"/>
        <v>0</v>
      </c>
      <c r="M57" s="396" t="str">
        <f>기계경비총괄표!F4</f>
        <v>481</v>
      </c>
      <c r="N57" s="395">
        <f t="shared" si="34"/>
        <v>15360.2</v>
      </c>
      <c r="O57" s="397" t="s">
        <v>78</v>
      </c>
    </row>
    <row r="58" spans="2:17" ht="19.7" customHeight="1">
      <c r="B58" s="392" t="s">
        <v>78</v>
      </c>
      <c r="C58" s="328" t="s">
        <v>2</v>
      </c>
      <c r="D58" s="328" t="s">
        <v>78</v>
      </c>
      <c r="E58" s="393">
        <v>22.353000000000002</v>
      </c>
      <c r="F58" s="329" t="s">
        <v>58</v>
      </c>
      <c r="G58" s="394">
        <f t="shared" si="31"/>
        <v>1650</v>
      </c>
      <c r="H58" s="395" t="str">
        <f t="shared" si="30"/>
        <v>36,882</v>
      </c>
      <c r="I58" s="396"/>
      <c r="J58" s="395">
        <f t="shared" si="32"/>
        <v>0</v>
      </c>
      <c r="K58" s="396">
        <f>자재단가!R5</f>
        <v>1650</v>
      </c>
      <c r="L58" s="395">
        <f t="shared" si="33"/>
        <v>36882.400000000001</v>
      </c>
      <c r="M58" s="396"/>
      <c r="N58" s="395">
        <f t="shared" si="34"/>
        <v>0</v>
      </c>
      <c r="O58" s="397" t="s">
        <v>78</v>
      </c>
    </row>
    <row r="59" spans="2:17" ht="19.7" customHeight="1">
      <c r="B59" s="392" t="s">
        <v>78</v>
      </c>
      <c r="C59" s="328" t="s">
        <v>55</v>
      </c>
      <c r="D59" s="328" t="s">
        <v>40</v>
      </c>
      <c r="E59" s="393">
        <v>9.26</v>
      </c>
      <c r="F59" s="329" t="s">
        <v>58</v>
      </c>
      <c r="G59" s="394">
        <f t="shared" si="31"/>
        <v>3782</v>
      </c>
      <c r="H59" s="395" t="str">
        <f t="shared" si="30"/>
        <v>35,021</v>
      </c>
      <c r="I59" s="396"/>
      <c r="J59" s="395">
        <f t="shared" si="32"/>
        <v>0</v>
      </c>
      <c r="K59" s="396">
        <f>자재단가!R6</f>
        <v>3782</v>
      </c>
      <c r="L59" s="395">
        <f t="shared" si="33"/>
        <v>35021.300000000003</v>
      </c>
      <c r="M59" s="396"/>
      <c r="N59" s="395">
        <f t="shared" si="34"/>
        <v>0</v>
      </c>
      <c r="O59" s="397" t="s">
        <v>78</v>
      </c>
    </row>
    <row r="60" spans="2:17" ht="19.7" customHeight="1">
      <c r="B60" s="392"/>
      <c r="C60" s="328"/>
      <c r="D60" s="328"/>
      <c r="E60" s="330"/>
      <c r="F60" s="329"/>
      <c r="G60" s="394"/>
      <c r="H60" s="330"/>
      <c r="I60" s="394"/>
      <c r="J60" s="378"/>
      <c r="K60" s="394"/>
      <c r="L60" s="378"/>
      <c r="M60" s="394"/>
      <c r="N60" s="378"/>
      <c r="O60" s="397"/>
    </row>
    <row r="61" spans="2:17" s="383" customFormat="1" ht="19.7" customHeight="1">
      <c r="B61" s="480">
        <f>B53+1</f>
        <v>8</v>
      </c>
      <c r="C61" s="385" t="s">
        <v>84</v>
      </c>
      <c r="D61" s="386" t="s">
        <v>172</v>
      </c>
      <c r="E61" s="387"/>
      <c r="F61" s="388" t="s">
        <v>18</v>
      </c>
      <c r="G61" s="389"/>
      <c r="H61" s="390" t="str">
        <f t="shared" ref="H61:H67" si="35">TEXT(J61+L61+N61,"#,##0")</f>
        <v>3,771,888</v>
      </c>
      <c r="I61" s="389"/>
      <c r="J61" s="390">
        <f>TRUNC(J62+J63+J64+J65+J66+J67)</f>
        <v>3673408</v>
      </c>
      <c r="K61" s="389"/>
      <c r="L61" s="390">
        <f>TRUNC(L62+L63+L64+L65+L66+L67)</f>
        <v>81146</v>
      </c>
      <c r="M61" s="389"/>
      <c r="N61" s="390">
        <f>TRUNC(N62+N63+N64+N65+N66+N67)</f>
        <v>17334</v>
      </c>
      <c r="O61" s="391" t="s">
        <v>78</v>
      </c>
    </row>
    <row r="62" spans="2:17" ht="19.7" customHeight="1">
      <c r="B62" s="392" t="s">
        <v>78</v>
      </c>
      <c r="C62" s="328" t="s">
        <v>85</v>
      </c>
      <c r="D62" s="328" t="s">
        <v>78</v>
      </c>
      <c r="E62" s="481">
        <f>ROUND(임목폐기물수량산출!M13/1.4,3)</f>
        <v>4.5039999999999996</v>
      </c>
      <c r="F62" s="329" t="s">
        <v>67</v>
      </c>
      <c r="G62" s="394">
        <f t="shared" ref="G62:G67" si="36">I62+K62+M62</f>
        <v>201640</v>
      </c>
      <c r="H62" s="395" t="str">
        <f t="shared" si="35"/>
        <v>908,187</v>
      </c>
      <c r="I62" s="396">
        <f>노임단가!L$6</f>
        <v>201640</v>
      </c>
      <c r="J62" s="395">
        <f t="shared" ref="J62:J67" si="37">TRUNC(E62*I62,1)</f>
        <v>908186.5</v>
      </c>
      <c r="K62" s="396"/>
      <c r="L62" s="395">
        <f t="shared" ref="L62:L67" si="38">TRUNC(E62*K62,1)</f>
        <v>0</v>
      </c>
      <c r="M62" s="396"/>
      <c r="N62" s="395">
        <f t="shared" ref="N62:N67" si="39">TRUNC(E62*M62,1)</f>
        <v>0</v>
      </c>
      <c r="O62" s="397" t="s">
        <v>78</v>
      </c>
      <c r="Q62" s="316">
        <v>4.5039999999999996</v>
      </c>
    </row>
    <row r="63" spans="2:17" ht="19.7" customHeight="1">
      <c r="B63" s="392" t="s">
        <v>78</v>
      </c>
      <c r="C63" s="328" t="s">
        <v>6</v>
      </c>
      <c r="D63" s="328" t="s">
        <v>86</v>
      </c>
      <c r="E63" s="481">
        <f>TRUNC((E47/E46)*E62,3)</f>
        <v>1.123</v>
      </c>
      <c r="F63" s="329" t="s">
        <v>67</v>
      </c>
      <c r="G63" s="394">
        <f t="shared" si="36"/>
        <v>144481</v>
      </c>
      <c r="H63" s="395" t="str">
        <f t="shared" si="35"/>
        <v>162,252</v>
      </c>
      <c r="I63" s="396">
        <f>노임단가!L$5</f>
        <v>144481</v>
      </c>
      <c r="J63" s="395">
        <f t="shared" si="37"/>
        <v>162252.1</v>
      </c>
      <c r="K63" s="396"/>
      <c r="L63" s="395">
        <f t="shared" si="38"/>
        <v>0</v>
      </c>
      <c r="M63" s="396"/>
      <c r="N63" s="395">
        <f t="shared" si="39"/>
        <v>0</v>
      </c>
      <c r="O63" s="397" t="s">
        <v>78</v>
      </c>
      <c r="Q63" s="316">
        <v>1.123</v>
      </c>
    </row>
    <row r="64" spans="2:17" ht="19.7" customHeight="1">
      <c r="B64" s="392"/>
      <c r="C64" s="328"/>
      <c r="D64" s="328" t="s">
        <v>87</v>
      </c>
      <c r="E64" s="481">
        <f>TRUNC((E48/E46)*E62,3)</f>
        <v>18.015999999999998</v>
      </c>
      <c r="F64" s="329" t="s">
        <v>67</v>
      </c>
      <c r="G64" s="394">
        <f t="shared" si="36"/>
        <v>144481</v>
      </c>
      <c r="H64" s="395" t="str">
        <f t="shared" si="35"/>
        <v>2,602,970</v>
      </c>
      <c r="I64" s="396">
        <f>노임단가!L$5</f>
        <v>144481</v>
      </c>
      <c r="J64" s="395">
        <f t="shared" si="37"/>
        <v>2602969.6</v>
      </c>
      <c r="K64" s="396"/>
      <c r="L64" s="395">
        <f t="shared" si="38"/>
        <v>0</v>
      </c>
      <c r="M64" s="396"/>
      <c r="N64" s="395">
        <f t="shared" si="39"/>
        <v>0</v>
      </c>
      <c r="O64" s="397"/>
      <c r="Q64" s="316">
        <v>18.015999999999998</v>
      </c>
    </row>
    <row r="65" spans="2:15" ht="19.7" customHeight="1">
      <c r="B65" s="392" t="s">
        <v>78</v>
      </c>
      <c r="C65" s="328" t="s">
        <v>88</v>
      </c>
      <c r="D65" s="328" t="s">
        <v>78</v>
      </c>
      <c r="E65" s="393">
        <v>36.039000000000001</v>
      </c>
      <c r="F65" s="329" t="s">
        <v>53</v>
      </c>
      <c r="G65" s="394">
        <f t="shared" si="36"/>
        <v>481</v>
      </c>
      <c r="H65" s="395" t="str">
        <f t="shared" si="35"/>
        <v>17,335</v>
      </c>
      <c r="I65" s="396"/>
      <c r="J65" s="395">
        <f t="shared" si="37"/>
        <v>0</v>
      </c>
      <c r="K65" s="396"/>
      <c r="L65" s="395">
        <f t="shared" si="38"/>
        <v>0</v>
      </c>
      <c r="M65" s="396" t="str">
        <f>기계경비총괄표!F$4</f>
        <v>481</v>
      </c>
      <c r="N65" s="395">
        <f t="shared" si="39"/>
        <v>17334.7</v>
      </c>
      <c r="O65" s="397" t="s">
        <v>78</v>
      </c>
    </row>
    <row r="66" spans="2:15" ht="19.7" customHeight="1">
      <c r="B66" s="392" t="s">
        <v>78</v>
      </c>
      <c r="C66" s="328" t="s">
        <v>2</v>
      </c>
      <c r="D66" s="328" t="s">
        <v>78</v>
      </c>
      <c r="E66" s="393">
        <v>25.227</v>
      </c>
      <c r="F66" s="329" t="s">
        <v>58</v>
      </c>
      <c r="G66" s="394">
        <f t="shared" si="36"/>
        <v>1650</v>
      </c>
      <c r="H66" s="395" t="str">
        <f t="shared" si="35"/>
        <v>41,625</v>
      </c>
      <c r="I66" s="396"/>
      <c r="J66" s="395">
        <f t="shared" si="37"/>
        <v>0</v>
      </c>
      <c r="K66" s="396">
        <f>자재단가!R$5</f>
        <v>1650</v>
      </c>
      <c r="L66" s="395">
        <f t="shared" si="38"/>
        <v>41624.5</v>
      </c>
      <c r="M66" s="396"/>
      <c r="N66" s="395">
        <f t="shared" si="39"/>
        <v>0</v>
      </c>
      <c r="O66" s="397" t="s">
        <v>78</v>
      </c>
    </row>
    <row r="67" spans="2:15" ht="19.7" customHeight="1">
      <c r="B67" s="392" t="s">
        <v>78</v>
      </c>
      <c r="C67" s="328" t="s">
        <v>55</v>
      </c>
      <c r="D67" s="328" t="s">
        <v>40</v>
      </c>
      <c r="E67" s="393">
        <v>10.45</v>
      </c>
      <c r="F67" s="329" t="s">
        <v>58</v>
      </c>
      <c r="G67" s="394">
        <f t="shared" si="36"/>
        <v>3782</v>
      </c>
      <c r="H67" s="395" t="str">
        <f t="shared" si="35"/>
        <v>39,522</v>
      </c>
      <c r="I67" s="396"/>
      <c r="J67" s="395">
        <f t="shared" si="37"/>
        <v>0</v>
      </c>
      <c r="K67" s="396">
        <f>자재단가!$R$6</f>
        <v>3782</v>
      </c>
      <c r="L67" s="395">
        <f t="shared" si="38"/>
        <v>39521.9</v>
      </c>
      <c r="M67" s="396"/>
      <c r="N67" s="395">
        <f t="shared" si="39"/>
        <v>0</v>
      </c>
      <c r="O67" s="397" t="s">
        <v>78</v>
      </c>
    </row>
    <row r="68" spans="2:15" ht="19.7" customHeight="1">
      <c r="B68" s="392"/>
      <c r="C68" s="328"/>
      <c r="D68" s="328"/>
      <c r="E68" s="330"/>
      <c r="F68" s="329"/>
      <c r="G68" s="394"/>
      <c r="H68" s="330"/>
      <c r="I68" s="394"/>
      <c r="J68" s="378"/>
      <c r="K68" s="394"/>
      <c r="L68" s="378"/>
      <c r="M68" s="394"/>
      <c r="N68" s="378"/>
      <c r="O68" s="397"/>
    </row>
    <row r="69" spans="2:15" s="383" customFormat="1" ht="19.7" customHeight="1">
      <c r="B69" s="384">
        <f>B61+1</f>
        <v>9</v>
      </c>
      <c r="C69" s="385" t="s">
        <v>84</v>
      </c>
      <c r="D69" s="386" t="s">
        <v>193</v>
      </c>
      <c r="E69" s="387"/>
      <c r="F69" s="388" t="s">
        <v>18</v>
      </c>
      <c r="G69" s="389"/>
      <c r="H69" s="390" t="str">
        <f t="shared" ref="H69:H75" si="40">TEXT(J69+L69+N69,"#,##0")</f>
        <v>224,645</v>
      </c>
      <c r="I69" s="389"/>
      <c r="J69" s="390">
        <f>TRUNC(J70+J71+J72+J73+J74+J75)</f>
        <v>220055</v>
      </c>
      <c r="K69" s="389"/>
      <c r="L69" s="390">
        <f>TRUNC(L70+L71+L72+L73+L74+L75)</f>
        <v>3782</v>
      </c>
      <c r="M69" s="389"/>
      <c r="N69" s="390">
        <f>TRUNC(N70+N71+N72+N73+N74+N75)</f>
        <v>808</v>
      </c>
      <c r="O69" s="391" t="s">
        <v>78</v>
      </c>
    </row>
    <row r="70" spans="2:15" ht="19.7" customHeight="1">
      <c r="B70" s="392" t="s">
        <v>78</v>
      </c>
      <c r="C70" s="328" t="s">
        <v>85</v>
      </c>
      <c r="D70" s="328" t="s">
        <v>78</v>
      </c>
      <c r="E70" s="393">
        <v>0.21</v>
      </c>
      <c r="F70" s="329" t="s">
        <v>67</v>
      </c>
      <c r="G70" s="394">
        <f t="shared" ref="G70:G75" si="41">I70+K70+M70</f>
        <v>201640</v>
      </c>
      <c r="H70" s="395" t="str">
        <f t="shared" si="40"/>
        <v>42,344</v>
      </c>
      <c r="I70" s="396">
        <f>노임단가!L$6</f>
        <v>201640</v>
      </c>
      <c r="J70" s="395">
        <f t="shared" ref="J70:J75" si="42">TRUNC(E70*I70,1)</f>
        <v>42344.4</v>
      </c>
      <c r="K70" s="396"/>
      <c r="L70" s="395">
        <f t="shared" ref="L70:L75" si="43">TRUNC(E70*K70,1)</f>
        <v>0</v>
      </c>
      <c r="M70" s="396"/>
      <c r="N70" s="395">
        <f t="shared" ref="N70:N75" si="44">TRUNC(E70*M70,1)</f>
        <v>0</v>
      </c>
      <c r="O70" s="397" t="s">
        <v>78</v>
      </c>
    </row>
    <row r="71" spans="2:15" ht="19.7" customHeight="1">
      <c r="B71" s="392" t="s">
        <v>78</v>
      </c>
      <c r="C71" s="328" t="s">
        <v>6</v>
      </c>
      <c r="D71" s="328" t="s">
        <v>86</v>
      </c>
      <c r="E71" s="393">
        <v>0.39</v>
      </c>
      <c r="F71" s="329" t="s">
        <v>67</v>
      </c>
      <c r="G71" s="394">
        <f t="shared" si="41"/>
        <v>144481</v>
      </c>
      <c r="H71" s="395" t="str">
        <f t="shared" si="40"/>
        <v>56,348</v>
      </c>
      <c r="I71" s="396">
        <f>노임단가!L$5</f>
        <v>144481</v>
      </c>
      <c r="J71" s="395">
        <f t="shared" si="42"/>
        <v>56347.5</v>
      </c>
      <c r="K71" s="396"/>
      <c r="L71" s="395">
        <f t="shared" si="43"/>
        <v>0</v>
      </c>
      <c r="M71" s="396"/>
      <c r="N71" s="395">
        <f t="shared" si="44"/>
        <v>0</v>
      </c>
      <c r="O71" s="397" t="s">
        <v>78</v>
      </c>
    </row>
    <row r="72" spans="2:15" ht="19.7" customHeight="1">
      <c r="B72" s="392"/>
      <c r="C72" s="328"/>
      <c r="D72" s="328" t="s">
        <v>87</v>
      </c>
      <c r="E72" s="393">
        <v>0.84</v>
      </c>
      <c r="F72" s="329" t="s">
        <v>67</v>
      </c>
      <c r="G72" s="394">
        <f t="shared" si="41"/>
        <v>144481</v>
      </c>
      <c r="H72" s="395" t="str">
        <f t="shared" si="40"/>
        <v>121,364</v>
      </c>
      <c r="I72" s="396">
        <f>노임단가!L$5</f>
        <v>144481</v>
      </c>
      <c r="J72" s="395">
        <f t="shared" si="42"/>
        <v>121364</v>
      </c>
      <c r="K72" s="396"/>
      <c r="L72" s="395">
        <f t="shared" si="43"/>
        <v>0</v>
      </c>
      <c r="M72" s="396"/>
      <c r="N72" s="395">
        <f t="shared" si="44"/>
        <v>0</v>
      </c>
      <c r="O72" s="397"/>
    </row>
    <row r="73" spans="2:15" ht="19.7" customHeight="1">
      <c r="B73" s="392" t="s">
        <v>78</v>
      </c>
      <c r="C73" s="328" t="s">
        <v>88</v>
      </c>
      <c r="D73" s="328" t="s">
        <v>78</v>
      </c>
      <c r="E73" s="393">
        <v>1.68</v>
      </c>
      <c r="F73" s="329" t="s">
        <v>53</v>
      </c>
      <c r="G73" s="394">
        <f t="shared" si="41"/>
        <v>481</v>
      </c>
      <c r="H73" s="395" t="str">
        <f t="shared" si="40"/>
        <v>808</v>
      </c>
      <c r="I73" s="396"/>
      <c r="J73" s="395">
        <f t="shared" si="42"/>
        <v>0</v>
      </c>
      <c r="K73" s="396"/>
      <c r="L73" s="395">
        <f t="shared" si="43"/>
        <v>0</v>
      </c>
      <c r="M73" s="396" t="str">
        <f>기계경비총괄표!F$4</f>
        <v>481</v>
      </c>
      <c r="N73" s="395">
        <f t="shared" si="44"/>
        <v>808</v>
      </c>
      <c r="O73" s="397" t="s">
        <v>78</v>
      </c>
    </row>
    <row r="74" spans="2:15" ht="19.7" customHeight="1">
      <c r="B74" s="392" t="s">
        <v>78</v>
      </c>
      <c r="C74" s="328" t="s">
        <v>2</v>
      </c>
      <c r="D74" s="328" t="s">
        <v>78</v>
      </c>
      <c r="E74" s="393">
        <v>1.1759999999999999</v>
      </c>
      <c r="F74" s="329" t="s">
        <v>58</v>
      </c>
      <c r="G74" s="394">
        <f t="shared" si="41"/>
        <v>1650</v>
      </c>
      <c r="H74" s="395" t="str">
        <f t="shared" si="40"/>
        <v>1,940</v>
      </c>
      <c r="I74" s="396"/>
      <c r="J74" s="395">
        <f t="shared" si="42"/>
        <v>0</v>
      </c>
      <c r="K74" s="396">
        <f>자재단가!R$5</f>
        <v>1650</v>
      </c>
      <c r="L74" s="395">
        <f t="shared" si="43"/>
        <v>1940.4</v>
      </c>
      <c r="M74" s="396"/>
      <c r="N74" s="395">
        <f t="shared" si="44"/>
        <v>0</v>
      </c>
      <c r="O74" s="397" t="s">
        <v>78</v>
      </c>
    </row>
    <row r="75" spans="2:15" ht="19.7" customHeight="1">
      <c r="B75" s="392" t="s">
        <v>78</v>
      </c>
      <c r="C75" s="328" t="s">
        <v>55</v>
      </c>
      <c r="D75" s="328" t="s">
        <v>40</v>
      </c>
      <c r="E75" s="393">
        <v>0.48699999999999999</v>
      </c>
      <c r="F75" s="329" t="s">
        <v>58</v>
      </c>
      <c r="G75" s="394">
        <f t="shared" si="41"/>
        <v>3782</v>
      </c>
      <c r="H75" s="395" t="str">
        <f t="shared" si="40"/>
        <v>1,842</v>
      </c>
      <c r="I75" s="396"/>
      <c r="J75" s="395">
        <f t="shared" si="42"/>
        <v>0</v>
      </c>
      <c r="K75" s="396">
        <f>자재단가!$R$6</f>
        <v>3782</v>
      </c>
      <c r="L75" s="395">
        <f t="shared" si="43"/>
        <v>1841.8</v>
      </c>
      <c r="M75" s="396"/>
      <c r="N75" s="395">
        <f t="shared" si="44"/>
        <v>0</v>
      </c>
      <c r="O75" s="397" t="s">
        <v>78</v>
      </c>
    </row>
    <row r="76" spans="2:15" ht="19.7" customHeight="1">
      <c r="B76" s="392"/>
      <c r="C76" s="328"/>
      <c r="D76" s="328"/>
      <c r="E76" s="330"/>
      <c r="F76" s="329"/>
      <c r="G76" s="394"/>
      <c r="H76" s="330"/>
      <c r="I76" s="394"/>
      <c r="J76" s="378"/>
      <c r="K76" s="394"/>
      <c r="L76" s="378"/>
      <c r="M76" s="394"/>
      <c r="N76" s="378"/>
      <c r="O76" s="397"/>
    </row>
    <row r="77" spans="2:15" s="383" customFormat="1" ht="19.7" customHeight="1">
      <c r="B77" s="384">
        <f>B69+1</f>
        <v>10</v>
      </c>
      <c r="C77" s="385" t="s">
        <v>84</v>
      </c>
      <c r="D77" s="386" t="s">
        <v>194</v>
      </c>
      <c r="E77" s="387"/>
      <c r="F77" s="388" t="s">
        <v>18</v>
      </c>
      <c r="G77" s="389"/>
      <c r="H77" s="390" t="str">
        <f t="shared" ref="H77:H83" si="45">TEXT(J77+L77+N77,"#,##0")</f>
        <v>317,156</v>
      </c>
      <c r="I77" s="389"/>
      <c r="J77" s="390">
        <f>TRUNC(J78+J79+J80+J81+J82+J83)</f>
        <v>310350</v>
      </c>
      <c r="K77" s="389"/>
      <c r="L77" s="390">
        <f>TRUNC(L78+L79+L80+L81+L82+L83)</f>
        <v>5608</v>
      </c>
      <c r="M77" s="389"/>
      <c r="N77" s="390">
        <f>TRUNC(N78+N79+N80+N81+N82+N83)</f>
        <v>1198</v>
      </c>
      <c r="O77" s="391" t="s">
        <v>78</v>
      </c>
    </row>
    <row r="78" spans="2:15" ht="19.7" customHeight="1">
      <c r="B78" s="392" t="s">
        <v>78</v>
      </c>
      <c r="C78" s="328" t="s">
        <v>85</v>
      </c>
      <c r="D78" s="328" t="s">
        <v>78</v>
      </c>
      <c r="E78" s="393">
        <v>0.311</v>
      </c>
      <c r="F78" s="329" t="s">
        <v>67</v>
      </c>
      <c r="G78" s="394">
        <f t="shared" ref="G78:G83" si="46">I78+K78+M78</f>
        <v>201640</v>
      </c>
      <c r="H78" s="395" t="str">
        <f t="shared" si="45"/>
        <v>62,710</v>
      </c>
      <c r="I78" s="396">
        <f>노임단가!L$6</f>
        <v>201640</v>
      </c>
      <c r="J78" s="395">
        <f t="shared" ref="J78:J83" si="47">TRUNC(E78*I78,1)</f>
        <v>62710</v>
      </c>
      <c r="K78" s="396"/>
      <c r="L78" s="395">
        <f t="shared" ref="L78:L83" si="48">TRUNC(E78*K78,1)</f>
        <v>0</v>
      </c>
      <c r="M78" s="396"/>
      <c r="N78" s="395">
        <f t="shared" ref="N78:N83" si="49">TRUNC(E78*M78,1)</f>
        <v>0</v>
      </c>
      <c r="O78" s="397" t="s">
        <v>78</v>
      </c>
    </row>
    <row r="79" spans="2:15" ht="19.7" customHeight="1">
      <c r="B79" s="392" t="s">
        <v>78</v>
      </c>
      <c r="C79" s="328" t="s">
        <v>6</v>
      </c>
      <c r="D79" s="328" t="s">
        <v>86</v>
      </c>
      <c r="E79" s="393">
        <v>0.47</v>
      </c>
      <c r="F79" s="329" t="s">
        <v>67</v>
      </c>
      <c r="G79" s="394">
        <f t="shared" si="46"/>
        <v>144481</v>
      </c>
      <c r="H79" s="395" t="str">
        <f t="shared" si="45"/>
        <v>67,906</v>
      </c>
      <c r="I79" s="396">
        <f>노임단가!L$5</f>
        <v>144481</v>
      </c>
      <c r="J79" s="395">
        <f t="shared" si="47"/>
        <v>67906</v>
      </c>
      <c r="K79" s="396"/>
      <c r="L79" s="395">
        <f t="shared" si="48"/>
        <v>0</v>
      </c>
      <c r="M79" s="396"/>
      <c r="N79" s="395">
        <f t="shared" si="49"/>
        <v>0</v>
      </c>
      <c r="O79" s="397" t="s">
        <v>78</v>
      </c>
    </row>
    <row r="80" spans="2:15" ht="19.7" customHeight="1">
      <c r="B80" s="392"/>
      <c r="C80" s="328"/>
      <c r="D80" s="328" t="s">
        <v>87</v>
      </c>
      <c r="E80" s="393">
        <v>1.244</v>
      </c>
      <c r="F80" s="329" t="s">
        <v>67</v>
      </c>
      <c r="G80" s="394">
        <f t="shared" si="46"/>
        <v>144481</v>
      </c>
      <c r="H80" s="395" t="str">
        <f t="shared" si="45"/>
        <v>179,734</v>
      </c>
      <c r="I80" s="396">
        <f>노임단가!L$5</f>
        <v>144481</v>
      </c>
      <c r="J80" s="395">
        <f t="shared" si="47"/>
        <v>179734.3</v>
      </c>
      <c r="K80" s="396"/>
      <c r="L80" s="395">
        <f t="shared" si="48"/>
        <v>0</v>
      </c>
      <c r="M80" s="396"/>
      <c r="N80" s="395">
        <f t="shared" si="49"/>
        <v>0</v>
      </c>
      <c r="O80" s="397"/>
    </row>
    <row r="81" spans="2:15" ht="19.7" customHeight="1">
      <c r="B81" s="392" t="s">
        <v>78</v>
      </c>
      <c r="C81" s="328" t="s">
        <v>88</v>
      </c>
      <c r="D81" s="328" t="s">
        <v>78</v>
      </c>
      <c r="E81" s="393">
        <v>2.492</v>
      </c>
      <c r="F81" s="329" t="s">
        <v>53</v>
      </c>
      <c r="G81" s="394">
        <f t="shared" si="46"/>
        <v>481</v>
      </c>
      <c r="H81" s="395" t="str">
        <f t="shared" si="45"/>
        <v>1,199</v>
      </c>
      <c r="I81" s="396"/>
      <c r="J81" s="395">
        <f t="shared" si="47"/>
        <v>0</v>
      </c>
      <c r="K81" s="396"/>
      <c r="L81" s="395">
        <f t="shared" si="48"/>
        <v>0</v>
      </c>
      <c r="M81" s="396" t="str">
        <f>기계경비총괄표!F$4</f>
        <v>481</v>
      </c>
      <c r="N81" s="395">
        <f t="shared" si="49"/>
        <v>1198.5999999999999</v>
      </c>
      <c r="O81" s="397" t="s">
        <v>78</v>
      </c>
    </row>
    <row r="82" spans="2:15" ht="19.7" customHeight="1">
      <c r="B82" s="392" t="s">
        <v>78</v>
      </c>
      <c r="C82" s="328" t="s">
        <v>2</v>
      </c>
      <c r="D82" s="328" t="s">
        <v>78</v>
      </c>
      <c r="E82" s="393">
        <v>1.744</v>
      </c>
      <c r="F82" s="329" t="s">
        <v>58</v>
      </c>
      <c r="G82" s="394">
        <f t="shared" si="46"/>
        <v>1650</v>
      </c>
      <c r="H82" s="395" t="str">
        <f t="shared" si="45"/>
        <v>2,878</v>
      </c>
      <c r="I82" s="396"/>
      <c r="J82" s="395">
        <f t="shared" si="47"/>
        <v>0</v>
      </c>
      <c r="K82" s="396">
        <f>자재단가!R$5</f>
        <v>1650</v>
      </c>
      <c r="L82" s="395">
        <f t="shared" si="48"/>
        <v>2877.6</v>
      </c>
      <c r="M82" s="396"/>
      <c r="N82" s="395">
        <f t="shared" si="49"/>
        <v>0</v>
      </c>
      <c r="O82" s="397" t="s">
        <v>78</v>
      </c>
    </row>
    <row r="83" spans="2:15" ht="19.7" customHeight="1">
      <c r="B83" s="392" t="s">
        <v>78</v>
      </c>
      <c r="C83" s="328" t="s">
        <v>55</v>
      </c>
      <c r="D83" s="328" t="s">
        <v>40</v>
      </c>
      <c r="E83" s="393">
        <v>0.72199999999999998</v>
      </c>
      <c r="F83" s="329" t="s">
        <v>58</v>
      </c>
      <c r="G83" s="394">
        <f t="shared" si="46"/>
        <v>3782</v>
      </c>
      <c r="H83" s="395" t="str">
        <f t="shared" si="45"/>
        <v>2,731</v>
      </c>
      <c r="I83" s="396"/>
      <c r="J83" s="395">
        <f t="shared" si="47"/>
        <v>0</v>
      </c>
      <c r="K83" s="396">
        <f>자재단가!$R$6</f>
        <v>3782</v>
      </c>
      <c r="L83" s="395">
        <f t="shared" si="48"/>
        <v>2730.6</v>
      </c>
      <c r="M83" s="396"/>
      <c r="N83" s="395">
        <f t="shared" si="49"/>
        <v>0</v>
      </c>
      <c r="O83" s="397" t="s">
        <v>78</v>
      </c>
    </row>
    <row r="84" spans="2:15" ht="19.7" customHeight="1">
      <c r="B84" s="392"/>
      <c r="C84" s="328"/>
      <c r="D84" s="328"/>
      <c r="E84" s="330"/>
      <c r="F84" s="329"/>
      <c r="G84" s="394"/>
      <c r="H84" s="330"/>
      <c r="I84" s="394"/>
      <c r="J84" s="378"/>
      <c r="K84" s="394"/>
      <c r="L84" s="378"/>
      <c r="M84" s="394"/>
      <c r="N84" s="378"/>
      <c r="O84" s="397"/>
    </row>
    <row r="85" spans="2:15" ht="19.7" customHeight="1">
      <c r="B85" s="384">
        <f>B77+1</f>
        <v>11</v>
      </c>
      <c r="C85" s="385" t="s">
        <v>266</v>
      </c>
      <c r="D85" s="385"/>
      <c r="E85" s="387"/>
      <c r="F85" s="388" t="s">
        <v>400</v>
      </c>
      <c r="G85" s="389"/>
      <c r="H85" s="390" t="str">
        <f>TEXT(J85+L85+N85,"#,##0")</f>
        <v>38,014</v>
      </c>
      <c r="I85" s="389"/>
      <c r="J85" s="390">
        <f>TRUNC(J86+J87+J88+J89+J90+J91)</f>
        <v>35491</v>
      </c>
      <c r="K85" s="389"/>
      <c r="L85" s="390">
        <f>TRUNC(L86+L87+L88+L89+L90+L91)</f>
        <v>923</v>
      </c>
      <c r="M85" s="389"/>
      <c r="N85" s="390">
        <f>TRUNC(N86+N87+N88+N89+N90+N91)</f>
        <v>1600</v>
      </c>
      <c r="O85" s="391" t="s">
        <v>78</v>
      </c>
    </row>
    <row r="86" spans="2:15" ht="19.7" customHeight="1">
      <c r="B86" s="384"/>
      <c r="C86" s="328" t="s">
        <v>398</v>
      </c>
      <c r="D86" s="328" t="s">
        <v>399</v>
      </c>
      <c r="E86" s="330">
        <v>1</v>
      </c>
      <c r="F86" s="329" t="s">
        <v>400</v>
      </c>
      <c r="G86" s="394">
        <f>I86+K86+M86</f>
        <v>9118</v>
      </c>
      <c r="H86" s="395" t="str">
        <f>TEXT(J86+L86+N86,"#,##0")</f>
        <v>9,118</v>
      </c>
      <c r="I86" s="394">
        <f>집재및운반!Q50</f>
        <v>6595</v>
      </c>
      <c r="J86" s="395">
        <f>TRUNC(E86*I86,1)</f>
        <v>6595</v>
      </c>
      <c r="K86" s="394">
        <f>집재및운반!R50</f>
        <v>923</v>
      </c>
      <c r="L86" s="395">
        <f>TRUNC(E86*K86,1)</f>
        <v>923</v>
      </c>
      <c r="M86" s="394">
        <f>집재및운반!S50</f>
        <v>1600</v>
      </c>
      <c r="N86" s="395">
        <f>TRUNC(E86*M86,1)</f>
        <v>1600</v>
      </c>
      <c r="O86" s="391"/>
    </row>
    <row r="87" spans="2:15" ht="19.5" customHeight="1">
      <c r="B87" s="392" t="s">
        <v>78</v>
      </c>
      <c r="C87" s="328" t="s">
        <v>402</v>
      </c>
      <c r="D87" s="328" t="s">
        <v>405</v>
      </c>
      <c r="E87" s="393">
        <v>0.2</v>
      </c>
      <c r="F87" s="329" t="s">
        <v>401</v>
      </c>
      <c r="G87" s="394">
        <f>I87+K87+M87</f>
        <v>144481</v>
      </c>
      <c r="H87" s="395" t="str">
        <f>TEXT(J87+L87+N87,"#,##0")</f>
        <v>28,896</v>
      </c>
      <c r="I87" s="396">
        <f>노임단가!F5</f>
        <v>144481</v>
      </c>
      <c r="J87" s="395">
        <f>TRUNC(E87*I87,1)</f>
        <v>28896.2</v>
      </c>
      <c r="K87" s="396">
        <f>자재단가!R116</f>
        <v>0</v>
      </c>
      <c r="L87" s="395">
        <f>TRUNC(E87*K87,1)</f>
        <v>0</v>
      </c>
      <c r="M87" s="396"/>
      <c r="N87" s="395">
        <f>TRUNC(E87*M87,1)</f>
        <v>0</v>
      </c>
      <c r="O87" s="397" t="s">
        <v>78</v>
      </c>
    </row>
  </sheetData>
  <mergeCells count="11">
    <mergeCell ref="O3:O4"/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</mergeCells>
  <phoneticPr fontId="2" type="noConversion"/>
  <pageMargins left="0.59055118110236227" right="0.59055118110236227" top="0.6692913385826772" bottom="0.59055118110236227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C29"/>
  <sheetViews>
    <sheetView workbookViewId="0">
      <pane ySplit="3" topLeftCell="A4" activePane="bottomLeft" state="frozen"/>
      <selection sqref="A1:IV65536"/>
      <selection pane="bottomLeft" activeCell="D27" sqref="D27"/>
    </sheetView>
  </sheetViews>
  <sheetFormatPr defaultColWidth="9.140625" defaultRowHeight="13.5"/>
  <cols>
    <col min="1" max="1" width="0.5703125" style="316" customWidth="1"/>
    <col min="2" max="2" width="6.85546875" style="316" customWidth="1"/>
    <col min="3" max="3" width="29.140625" style="316" customWidth="1"/>
    <col min="4" max="4" width="26.5703125" style="316" customWidth="1"/>
    <col min="5" max="5" width="9.5703125" style="316" customWidth="1"/>
    <col min="6" max="9" width="18.42578125" style="316" customWidth="1"/>
    <col min="10" max="16384" width="9.140625" style="316"/>
  </cols>
  <sheetData>
    <row r="1" spans="2:29" ht="24.95" customHeight="1">
      <c r="B1" s="512" t="s">
        <v>34</v>
      </c>
      <c r="C1" s="512"/>
      <c r="D1" s="512"/>
      <c r="E1" s="512"/>
      <c r="F1" s="512"/>
      <c r="G1" s="512"/>
      <c r="H1" s="512"/>
      <c r="I1" s="512"/>
    </row>
    <row r="2" spans="2:29" ht="9.9499999999999993" customHeight="1">
      <c r="B2" s="513"/>
      <c r="C2" s="513"/>
      <c r="D2" s="513"/>
      <c r="E2" s="513"/>
      <c r="F2" s="513"/>
      <c r="G2" s="513"/>
      <c r="H2" s="513"/>
      <c r="I2" s="513"/>
    </row>
    <row r="3" spans="2:29" ht="30.75" customHeight="1">
      <c r="B3" s="318" t="s">
        <v>22</v>
      </c>
      <c r="C3" s="319" t="s">
        <v>45</v>
      </c>
      <c r="D3" s="319" t="s">
        <v>57</v>
      </c>
      <c r="E3" s="319" t="s">
        <v>29</v>
      </c>
      <c r="F3" s="319" t="s">
        <v>72</v>
      </c>
      <c r="G3" s="319" t="s">
        <v>62</v>
      </c>
      <c r="H3" s="319" t="s">
        <v>42</v>
      </c>
      <c r="I3" s="320" t="s">
        <v>7</v>
      </c>
      <c r="Z3" s="316" t="s">
        <v>43</v>
      </c>
      <c r="AA3" s="316" t="s">
        <v>51</v>
      </c>
      <c r="AB3" s="316" t="s">
        <v>76</v>
      </c>
      <c r="AC3" s="316" t="s">
        <v>47</v>
      </c>
    </row>
    <row r="4" spans="2:29" ht="19.7" customHeight="1">
      <c r="B4" s="371">
        <v>1</v>
      </c>
      <c r="C4" s="372" t="s">
        <v>82</v>
      </c>
      <c r="D4" s="372"/>
      <c r="E4" s="373" t="s">
        <v>53</v>
      </c>
      <c r="F4" s="374" t="str">
        <f>TEXT(G4+H4+I4,"#,##0")</f>
        <v>481</v>
      </c>
      <c r="G4" s="374">
        <v>0</v>
      </c>
      <c r="H4" s="374">
        <v>0</v>
      </c>
      <c r="I4" s="375">
        <f>기계경비!AC4</f>
        <v>481</v>
      </c>
      <c r="Z4" s="326">
        <v>65981</v>
      </c>
      <c r="AA4" s="326">
        <v>38972</v>
      </c>
      <c r="AB4" s="326">
        <v>12923</v>
      </c>
      <c r="AC4" s="326">
        <v>14086</v>
      </c>
    </row>
    <row r="5" spans="2:29" ht="19.7" customHeight="1">
      <c r="B5" s="321"/>
      <c r="C5" s="322"/>
      <c r="D5" s="322"/>
      <c r="E5" s="323"/>
      <c r="F5" s="376"/>
      <c r="G5" s="376"/>
      <c r="H5" s="376"/>
      <c r="I5" s="377"/>
      <c r="Z5" s="326"/>
      <c r="AA5" s="326"/>
      <c r="AB5" s="326"/>
      <c r="AC5" s="326"/>
    </row>
    <row r="6" spans="2:29" ht="19.7" customHeight="1">
      <c r="B6" s="321"/>
      <c r="C6" s="322"/>
      <c r="D6" s="322"/>
      <c r="E6" s="323"/>
      <c r="F6" s="376"/>
      <c r="G6" s="376"/>
      <c r="H6" s="376"/>
      <c r="I6" s="377"/>
      <c r="Z6" s="326"/>
      <c r="AA6" s="326"/>
      <c r="AB6" s="326"/>
      <c r="AC6" s="326"/>
    </row>
    <row r="7" spans="2:29" ht="19.7" customHeight="1">
      <c r="B7" s="321"/>
      <c r="C7" s="322"/>
      <c r="D7" s="322"/>
      <c r="E7" s="323"/>
      <c r="F7" s="376"/>
      <c r="G7" s="376"/>
      <c r="H7" s="376"/>
      <c r="I7" s="377"/>
      <c r="Z7" s="326"/>
      <c r="AA7" s="326"/>
      <c r="AB7" s="326"/>
      <c r="AC7" s="326"/>
    </row>
    <row r="8" spans="2:29" ht="19.7" customHeight="1">
      <c r="B8" s="321"/>
      <c r="C8" s="322"/>
      <c r="D8" s="322"/>
      <c r="E8" s="323"/>
      <c r="F8" s="376"/>
      <c r="G8" s="376"/>
      <c r="H8" s="376"/>
      <c r="I8" s="377"/>
      <c r="Z8" s="326"/>
      <c r="AA8" s="326"/>
      <c r="AB8" s="326"/>
      <c r="AC8" s="326"/>
    </row>
    <row r="9" spans="2:29" ht="19.7" customHeight="1">
      <c r="B9" s="321"/>
      <c r="C9" s="322"/>
      <c r="D9" s="322"/>
      <c r="E9" s="323"/>
      <c r="F9" s="376"/>
      <c r="G9" s="376"/>
      <c r="H9" s="376"/>
      <c r="I9" s="377"/>
      <c r="Z9" s="326"/>
      <c r="AA9" s="326"/>
      <c r="AB9" s="326"/>
      <c r="AC9" s="326"/>
    </row>
    <row r="10" spans="2:29" ht="19.7" customHeight="1">
      <c r="B10" s="321"/>
      <c r="C10" s="322"/>
      <c r="D10" s="322"/>
      <c r="E10" s="323"/>
      <c r="F10" s="376"/>
      <c r="G10" s="376"/>
      <c r="H10" s="376"/>
      <c r="I10" s="377"/>
      <c r="Z10" s="326"/>
      <c r="AA10" s="326"/>
      <c r="AB10" s="326"/>
      <c r="AC10" s="326"/>
    </row>
    <row r="11" spans="2:29" ht="19.7" hidden="1" customHeight="1">
      <c r="B11" s="321"/>
      <c r="C11" s="322"/>
      <c r="D11" s="322"/>
      <c r="E11" s="323"/>
      <c r="F11" s="376"/>
      <c r="G11" s="376"/>
      <c r="H11" s="376"/>
      <c r="I11" s="377"/>
      <c r="Z11" s="326"/>
      <c r="AA11" s="326"/>
      <c r="AB11" s="326"/>
      <c r="AC11" s="326"/>
    </row>
    <row r="12" spans="2:29" ht="19.7" hidden="1" customHeight="1">
      <c r="B12" s="321"/>
      <c r="C12" s="322"/>
      <c r="D12" s="322"/>
      <c r="E12" s="323"/>
      <c r="F12" s="376"/>
      <c r="G12" s="376"/>
      <c r="H12" s="376"/>
      <c r="I12" s="377"/>
      <c r="Z12" s="326"/>
      <c r="AA12" s="326"/>
      <c r="AB12" s="326"/>
      <c r="AC12" s="326"/>
    </row>
    <row r="13" spans="2:29" ht="19.7" hidden="1" customHeight="1">
      <c r="B13" s="327"/>
      <c r="C13" s="328"/>
      <c r="D13" s="328"/>
      <c r="E13" s="329"/>
      <c r="F13" s="378"/>
      <c r="G13" s="378"/>
      <c r="H13" s="378"/>
      <c r="I13" s="379"/>
      <c r="Z13" s="326"/>
      <c r="AA13" s="326"/>
      <c r="AB13" s="326"/>
      <c r="AC13" s="326"/>
    </row>
    <row r="14" spans="2:29" ht="19.7" hidden="1" customHeight="1">
      <c r="B14" s="327"/>
      <c r="C14" s="328"/>
      <c r="D14" s="328"/>
      <c r="E14" s="329"/>
      <c r="F14" s="378"/>
      <c r="G14" s="378"/>
      <c r="H14" s="378"/>
      <c r="I14" s="379"/>
      <c r="Z14" s="326"/>
      <c r="AA14" s="326"/>
      <c r="AB14" s="326"/>
      <c r="AC14" s="326"/>
    </row>
    <row r="15" spans="2:29" ht="19.7" hidden="1" customHeight="1">
      <c r="B15" s="327"/>
      <c r="C15" s="328"/>
      <c r="D15" s="328"/>
      <c r="E15" s="329"/>
      <c r="F15" s="378"/>
      <c r="G15" s="378"/>
      <c r="H15" s="378"/>
      <c r="I15" s="379"/>
      <c r="Z15" s="326"/>
      <c r="AA15" s="326"/>
      <c r="AB15" s="326"/>
      <c r="AC15" s="326"/>
    </row>
    <row r="16" spans="2:29" ht="19.7" hidden="1" customHeight="1">
      <c r="B16" s="327"/>
      <c r="C16" s="328"/>
      <c r="D16" s="328"/>
      <c r="E16" s="329"/>
      <c r="F16" s="378"/>
      <c r="G16" s="378"/>
      <c r="H16" s="378"/>
      <c r="I16" s="379"/>
      <c r="Z16" s="326"/>
      <c r="AA16" s="326"/>
      <c r="AB16" s="326"/>
      <c r="AC16" s="326"/>
    </row>
    <row r="17" spans="2:29" ht="19.7" hidden="1" customHeight="1">
      <c r="B17" s="327"/>
      <c r="C17" s="328"/>
      <c r="D17" s="328"/>
      <c r="E17" s="329"/>
      <c r="F17" s="378"/>
      <c r="G17" s="378"/>
      <c r="H17" s="378"/>
      <c r="I17" s="379"/>
      <c r="Z17" s="326"/>
      <c r="AA17" s="326"/>
      <c r="AB17" s="326"/>
      <c r="AC17" s="326"/>
    </row>
    <row r="18" spans="2:29" ht="19.7" customHeight="1">
      <c r="B18" s="327"/>
      <c r="C18" s="328"/>
      <c r="D18" s="328"/>
      <c r="E18" s="329"/>
      <c r="F18" s="378"/>
      <c r="G18" s="378"/>
      <c r="H18" s="378"/>
      <c r="I18" s="379"/>
      <c r="Z18" s="326"/>
      <c r="AA18" s="326"/>
      <c r="AB18" s="326"/>
      <c r="AC18" s="326"/>
    </row>
    <row r="19" spans="2:29" ht="19.7" customHeight="1">
      <c r="B19" s="327"/>
      <c r="C19" s="328"/>
      <c r="D19" s="328"/>
      <c r="E19" s="329"/>
      <c r="F19" s="378"/>
      <c r="G19" s="378"/>
      <c r="H19" s="378"/>
      <c r="I19" s="379"/>
      <c r="Z19" s="326"/>
      <c r="AA19" s="326"/>
      <c r="AB19" s="326"/>
      <c r="AC19" s="326"/>
    </row>
    <row r="20" spans="2:29" ht="19.7" customHeight="1">
      <c r="B20" s="327"/>
      <c r="C20" s="328"/>
      <c r="D20" s="328"/>
      <c r="E20" s="329"/>
      <c r="F20" s="378"/>
      <c r="G20" s="378"/>
      <c r="H20" s="378"/>
      <c r="I20" s="379"/>
      <c r="Z20" s="326"/>
      <c r="AA20" s="326"/>
      <c r="AB20" s="326"/>
      <c r="AC20" s="326"/>
    </row>
    <row r="21" spans="2:29" ht="19.7" customHeight="1">
      <c r="B21" s="327"/>
      <c r="C21" s="328"/>
      <c r="D21" s="328"/>
      <c r="E21" s="329"/>
      <c r="F21" s="378"/>
      <c r="G21" s="378"/>
      <c r="H21" s="378"/>
      <c r="I21" s="379"/>
      <c r="Z21" s="326"/>
      <c r="AA21" s="326"/>
      <c r="AB21" s="326"/>
      <c r="AC21" s="326"/>
    </row>
    <row r="22" spans="2:29" ht="19.7" customHeight="1">
      <c r="B22" s="327"/>
      <c r="C22" s="328"/>
      <c r="D22" s="328"/>
      <c r="E22" s="329"/>
      <c r="F22" s="378"/>
      <c r="G22" s="378"/>
      <c r="H22" s="378"/>
      <c r="I22" s="379"/>
      <c r="Z22" s="326"/>
      <c r="AA22" s="326"/>
      <c r="AB22" s="326"/>
      <c r="AC22" s="326"/>
    </row>
    <row r="23" spans="2:29" ht="19.7" customHeight="1">
      <c r="B23" s="327"/>
      <c r="C23" s="328"/>
      <c r="D23" s="328"/>
      <c r="E23" s="329"/>
      <c r="F23" s="378"/>
      <c r="G23" s="378"/>
      <c r="H23" s="378"/>
      <c r="I23" s="379"/>
      <c r="Z23" s="326"/>
      <c r="AA23" s="326"/>
      <c r="AB23" s="326"/>
      <c r="AC23" s="326"/>
    </row>
    <row r="24" spans="2:29" ht="19.7" customHeight="1">
      <c r="B24" s="327"/>
      <c r="C24" s="328"/>
      <c r="D24" s="328"/>
      <c r="E24" s="329"/>
      <c r="F24" s="378"/>
      <c r="G24" s="378"/>
      <c r="H24" s="378"/>
      <c r="I24" s="379"/>
      <c r="Z24" s="326"/>
      <c r="AA24" s="326"/>
      <c r="AB24" s="326"/>
      <c r="AC24" s="326"/>
    </row>
    <row r="25" spans="2:29" ht="19.7" customHeight="1">
      <c r="B25" s="327"/>
      <c r="C25" s="328"/>
      <c r="D25" s="328"/>
      <c r="E25" s="329"/>
      <c r="F25" s="378"/>
      <c r="G25" s="378"/>
      <c r="H25" s="378"/>
      <c r="I25" s="379"/>
      <c r="Z25" s="326"/>
      <c r="AA25" s="326"/>
      <c r="AB25" s="326"/>
      <c r="AC25" s="326"/>
    </row>
    <row r="26" spans="2:29" ht="19.7" customHeight="1">
      <c r="B26" s="327"/>
      <c r="C26" s="328"/>
      <c r="D26" s="328"/>
      <c r="E26" s="329"/>
      <c r="F26" s="378"/>
      <c r="G26" s="378"/>
      <c r="H26" s="378"/>
      <c r="I26" s="379"/>
      <c r="Z26" s="326"/>
      <c r="AA26" s="326"/>
      <c r="AB26" s="326"/>
      <c r="AC26" s="326"/>
    </row>
    <row r="27" spans="2:29" ht="19.7" customHeight="1">
      <c r="B27" s="327"/>
      <c r="C27" s="328"/>
      <c r="D27" s="328"/>
      <c r="E27" s="329"/>
      <c r="F27" s="378"/>
      <c r="G27" s="378"/>
      <c r="H27" s="378"/>
      <c r="I27" s="379"/>
      <c r="Z27" s="326"/>
      <c r="AA27" s="326"/>
      <c r="AB27" s="326"/>
      <c r="AC27" s="326"/>
    </row>
    <row r="28" spans="2:29" ht="19.7" customHeight="1">
      <c r="B28" s="327"/>
      <c r="C28" s="328"/>
      <c r="D28" s="328"/>
      <c r="E28" s="329"/>
      <c r="F28" s="378"/>
      <c r="G28" s="378"/>
      <c r="H28" s="378"/>
      <c r="I28" s="379"/>
      <c r="Z28" s="326"/>
      <c r="AA28" s="326"/>
      <c r="AB28" s="326"/>
      <c r="AC28" s="326"/>
    </row>
    <row r="29" spans="2:29" ht="19.7" customHeight="1">
      <c r="B29" s="346"/>
      <c r="C29" s="366"/>
      <c r="D29" s="366"/>
      <c r="E29" s="380"/>
      <c r="F29" s="381"/>
      <c r="G29" s="381"/>
      <c r="H29" s="381"/>
      <c r="I29" s="382"/>
      <c r="Z29" s="326"/>
      <c r="AA29" s="326"/>
      <c r="AB29" s="326"/>
      <c r="AC29" s="326"/>
    </row>
  </sheetData>
  <mergeCells count="1">
    <mergeCell ref="B1:I2"/>
  </mergeCells>
  <phoneticPr fontId="2" type="noConversion"/>
  <printOptions horizontalCentered="1"/>
  <pageMargins left="0.59055118110236227" right="7.874015748031496E-2" top="0.6692913385826772" bottom="0.59055118110236227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D29"/>
  <sheetViews>
    <sheetView workbookViewId="0">
      <pane ySplit="3" topLeftCell="A4" activePane="bottomLeft" state="frozen"/>
      <selection sqref="A1:IV65536"/>
      <selection pane="bottomLeft" activeCell="G31" sqref="G31"/>
    </sheetView>
  </sheetViews>
  <sheetFormatPr defaultColWidth="9.140625" defaultRowHeight="13.5"/>
  <cols>
    <col min="1" max="1" width="0.5703125" style="316" customWidth="1"/>
    <col min="2" max="2" width="28.85546875" style="316" customWidth="1"/>
    <col min="3" max="3" width="23.5703125" style="316" customWidth="1"/>
    <col min="4" max="25" width="1.85546875" style="316" customWidth="1"/>
    <col min="26" max="26" width="10.5703125" style="316" customWidth="1"/>
    <col min="27" max="29" width="9.85546875" style="316" customWidth="1"/>
    <col min="30" max="30" width="11.5703125" style="316" customWidth="1"/>
    <col min="31" max="16384" width="9.140625" style="316"/>
  </cols>
  <sheetData>
    <row r="1" spans="2:30" ht="24.95" customHeight="1">
      <c r="B1" s="512" t="s">
        <v>13</v>
      </c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</row>
    <row r="2" spans="2:30" ht="9.9499999999999993" customHeight="1"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513"/>
    </row>
    <row r="3" spans="2:30" ht="30.75" customHeight="1">
      <c r="B3" s="318" t="s">
        <v>49</v>
      </c>
      <c r="C3" s="319" t="s">
        <v>57</v>
      </c>
      <c r="D3" s="522" t="s">
        <v>74</v>
      </c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349" t="s">
        <v>72</v>
      </c>
      <c r="AA3" s="319" t="s">
        <v>62</v>
      </c>
      <c r="AB3" s="319" t="s">
        <v>42</v>
      </c>
      <c r="AC3" s="319" t="s">
        <v>7</v>
      </c>
      <c r="AD3" s="320" t="s">
        <v>3</v>
      </c>
    </row>
    <row r="4" spans="2:30" s="350" customFormat="1" ht="19.7" customHeight="1">
      <c r="B4" s="351" t="s">
        <v>83</v>
      </c>
      <c r="C4" s="352" t="s">
        <v>78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4" t="str">
        <f>TEXT(AA4+AB4+AC4,"#,##0")</f>
        <v>481</v>
      </c>
      <c r="AA4" s="355">
        <f>TRUNC(AA5)</f>
        <v>0</v>
      </c>
      <c r="AB4" s="355">
        <f>TRUNC(AB5)</f>
        <v>0</v>
      </c>
      <c r="AC4" s="355">
        <f>TRUNC(AC5)</f>
        <v>481</v>
      </c>
      <c r="AD4" s="356"/>
    </row>
    <row r="5" spans="2:30" s="350" customFormat="1" ht="19.7" customHeight="1">
      <c r="B5" s="357" t="s">
        <v>46</v>
      </c>
      <c r="C5" s="358" t="s">
        <v>78</v>
      </c>
      <c r="D5" s="523">
        <v>420000</v>
      </c>
      <c r="E5" s="523"/>
      <c r="F5" s="523"/>
      <c r="G5" s="523"/>
      <c r="H5" s="523"/>
      <c r="I5" s="523" t="s">
        <v>17</v>
      </c>
      <c r="J5" s="523"/>
      <c r="K5" s="524">
        <v>11470</v>
      </c>
      <c r="L5" s="524"/>
      <c r="M5" s="524"/>
      <c r="N5" s="359" t="s">
        <v>61</v>
      </c>
      <c r="O5" s="523" t="s">
        <v>64</v>
      </c>
      <c r="P5" s="523"/>
      <c r="Q5" s="523"/>
      <c r="R5" s="359"/>
      <c r="S5" s="359"/>
      <c r="T5" s="359"/>
      <c r="U5" s="359"/>
      <c r="V5" s="359"/>
      <c r="W5" s="359"/>
      <c r="X5" s="359"/>
      <c r="Y5" s="359"/>
      <c r="Z5" s="360"/>
      <c r="AA5" s="361"/>
      <c r="AB5" s="361"/>
      <c r="AC5" s="362">
        <f>TRUNC(D5*K5*0.0000001,1)</f>
        <v>481.7</v>
      </c>
      <c r="AD5" s="363" t="s">
        <v>78</v>
      </c>
    </row>
    <row r="6" spans="2:30" s="350" customFormat="1" ht="19.7" customHeight="1">
      <c r="B6" s="357"/>
      <c r="C6" s="358"/>
      <c r="D6" s="359"/>
      <c r="E6" s="359"/>
      <c r="F6" s="359"/>
      <c r="G6" s="359"/>
      <c r="H6" s="359"/>
      <c r="I6" s="359"/>
      <c r="J6" s="359"/>
      <c r="K6" s="364"/>
      <c r="L6" s="364"/>
      <c r="M6" s="364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60"/>
      <c r="AA6" s="361"/>
      <c r="AB6" s="361"/>
      <c r="AC6" s="362"/>
      <c r="AD6" s="363"/>
    </row>
    <row r="7" spans="2:30" s="350" customFormat="1" ht="19.7" customHeight="1">
      <c r="B7" s="357"/>
      <c r="C7" s="358"/>
      <c r="D7" s="359"/>
      <c r="E7" s="359"/>
      <c r="F7" s="359"/>
      <c r="G7" s="359"/>
      <c r="H7" s="359"/>
      <c r="I7" s="359"/>
      <c r="J7" s="359"/>
      <c r="K7" s="364"/>
      <c r="L7" s="364"/>
      <c r="M7" s="364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60"/>
      <c r="AA7" s="361"/>
      <c r="AB7" s="361"/>
      <c r="AC7" s="362"/>
      <c r="AD7" s="363"/>
    </row>
    <row r="8" spans="2:30" s="350" customFormat="1" ht="19.7" customHeight="1">
      <c r="B8" s="357"/>
      <c r="C8" s="358"/>
      <c r="D8" s="359"/>
      <c r="E8" s="359"/>
      <c r="F8" s="359"/>
      <c r="G8" s="359"/>
      <c r="H8" s="359"/>
      <c r="I8" s="359"/>
      <c r="J8" s="359"/>
      <c r="K8" s="364"/>
      <c r="L8" s="364"/>
      <c r="M8" s="364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60"/>
      <c r="AA8" s="361"/>
      <c r="AB8" s="361"/>
      <c r="AC8" s="362"/>
      <c r="AD8" s="363"/>
    </row>
    <row r="9" spans="2:30" s="350" customFormat="1" ht="19.7" customHeight="1">
      <c r="B9" s="357"/>
      <c r="C9" s="358"/>
      <c r="D9" s="359"/>
      <c r="E9" s="359"/>
      <c r="F9" s="359"/>
      <c r="G9" s="359"/>
      <c r="H9" s="359"/>
      <c r="I9" s="359"/>
      <c r="J9" s="359"/>
      <c r="K9" s="364"/>
      <c r="L9" s="364"/>
      <c r="M9" s="364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60"/>
      <c r="AA9" s="361"/>
      <c r="AB9" s="361"/>
      <c r="AC9" s="362"/>
      <c r="AD9" s="363"/>
    </row>
    <row r="10" spans="2:30" s="350" customFormat="1" ht="19.7" customHeight="1">
      <c r="B10" s="357"/>
      <c r="C10" s="358"/>
      <c r="D10" s="359"/>
      <c r="E10" s="359"/>
      <c r="F10" s="359"/>
      <c r="G10" s="359"/>
      <c r="H10" s="359"/>
      <c r="I10" s="359"/>
      <c r="J10" s="359"/>
      <c r="K10" s="364"/>
      <c r="L10" s="364"/>
      <c r="M10" s="364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60"/>
      <c r="AA10" s="361"/>
      <c r="AB10" s="361"/>
      <c r="AC10" s="362"/>
      <c r="AD10" s="363"/>
    </row>
    <row r="11" spans="2:30" s="350" customFormat="1" ht="19.7" customHeight="1">
      <c r="B11" s="357"/>
      <c r="C11" s="358"/>
      <c r="D11" s="359"/>
      <c r="E11" s="359"/>
      <c r="F11" s="359"/>
      <c r="G11" s="359"/>
      <c r="H11" s="359"/>
      <c r="I11" s="359"/>
      <c r="J11" s="359"/>
      <c r="K11" s="364"/>
      <c r="L11" s="364"/>
      <c r="M11" s="364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60"/>
      <c r="AA11" s="361"/>
      <c r="AB11" s="361"/>
      <c r="AC11" s="362"/>
      <c r="AD11" s="363"/>
    </row>
    <row r="12" spans="2:30" s="350" customFormat="1" ht="19.7" hidden="1" customHeight="1">
      <c r="B12" s="357"/>
      <c r="C12" s="358"/>
      <c r="D12" s="359"/>
      <c r="E12" s="359"/>
      <c r="F12" s="359"/>
      <c r="G12" s="359"/>
      <c r="H12" s="359"/>
      <c r="I12" s="359"/>
      <c r="J12" s="359"/>
      <c r="K12" s="364"/>
      <c r="L12" s="364"/>
      <c r="M12" s="364"/>
      <c r="N12" s="359"/>
      <c r="O12" s="359"/>
      <c r="P12" s="359"/>
      <c r="Q12" s="359"/>
      <c r="R12" s="359"/>
      <c r="S12" s="359"/>
      <c r="T12" s="359"/>
      <c r="U12" s="359"/>
      <c r="V12" s="359"/>
      <c r="W12" s="359"/>
      <c r="X12" s="359"/>
      <c r="Y12" s="359"/>
      <c r="Z12" s="360"/>
      <c r="AA12" s="361"/>
      <c r="AB12" s="361"/>
      <c r="AC12" s="362"/>
      <c r="AD12" s="363"/>
    </row>
    <row r="13" spans="2:30" s="350" customFormat="1" ht="19.7" hidden="1" customHeight="1">
      <c r="B13" s="357"/>
      <c r="C13" s="358"/>
      <c r="D13" s="359"/>
      <c r="E13" s="359"/>
      <c r="F13" s="359"/>
      <c r="G13" s="359"/>
      <c r="H13" s="359"/>
      <c r="I13" s="359"/>
      <c r="J13" s="359"/>
      <c r="K13" s="364"/>
      <c r="L13" s="364"/>
      <c r="M13" s="364"/>
      <c r="N13" s="359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60"/>
      <c r="AA13" s="361"/>
      <c r="AB13" s="361"/>
      <c r="AC13" s="362"/>
      <c r="AD13" s="363"/>
    </row>
    <row r="14" spans="2:30" s="350" customFormat="1" ht="19.7" hidden="1" customHeight="1">
      <c r="B14" s="357"/>
      <c r="C14" s="358"/>
      <c r="D14" s="359"/>
      <c r="E14" s="359"/>
      <c r="F14" s="359"/>
      <c r="G14" s="359"/>
      <c r="H14" s="359"/>
      <c r="I14" s="359"/>
      <c r="J14" s="359"/>
      <c r="K14" s="364"/>
      <c r="L14" s="364"/>
      <c r="M14" s="364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60"/>
      <c r="AA14" s="361"/>
      <c r="AB14" s="361"/>
      <c r="AC14" s="362"/>
      <c r="AD14" s="363"/>
    </row>
    <row r="15" spans="2:30" s="350" customFormat="1" ht="19.7" hidden="1" customHeight="1">
      <c r="B15" s="357"/>
      <c r="C15" s="358"/>
      <c r="D15" s="359"/>
      <c r="E15" s="359"/>
      <c r="F15" s="359"/>
      <c r="G15" s="359"/>
      <c r="H15" s="359"/>
      <c r="I15" s="359"/>
      <c r="J15" s="359"/>
      <c r="K15" s="364"/>
      <c r="L15" s="364"/>
      <c r="M15" s="364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60"/>
      <c r="AA15" s="361"/>
      <c r="AB15" s="361"/>
      <c r="AC15" s="362"/>
      <c r="AD15" s="363"/>
    </row>
    <row r="16" spans="2:30" s="350" customFormat="1" ht="19.7" hidden="1" customHeight="1">
      <c r="B16" s="357"/>
      <c r="C16" s="358"/>
      <c r="D16" s="359"/>
      <c r="E16" s="359"/>
      <c r="F16" s="359"/>
      <c r="G16" s="359"/>
      <c r="H16" s="359"/>
      <c r="I16" s="359"/>
      <c r="J16" s="359"/>
      <c r="K16" s="364"/>
      <c r="L16" s="364"/>
      <c r="M16" s="364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60"/>
      <c r="AA16" s="361"/>
      <c r="AB16" s="361"/>
      <c r="AC16" s="362"/>
      <c r="AD16" s="363"/>
    </row>
    <row r="17" spans="2:30" s="350" customFormat="1" ht="19.7" hidden="1" customHeight="1">
      <c r="B17" s="357"/>
      <c r="C17" s="358"/>
      <c r="D17" s="359"/>
      <c r="E17" s="359"/>
      <c r="F17" s="359"/>
      <c r="G17" s="359"/>
      <c r="H17" s="359"/>
      <c r="I17" s="359"/>
      <c r="J17" s="359"/>
      <c r="K17" s="364"/>
      <c r="L17" s="364"/>
      <c r="M17" s="364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60"/>
      <c r="AA17" s="361"/>
      <c r="AB17" s="361"/>
      <c r="AC17" s="362"/>
      <c r="AD17" s="363"/>
    </row>
    <row r="18" spans="2:30" s="350" customFormat="1" ht="19.7" hidden="1" customHeight="1">
      <c r="B18" s="357"/>
      <c r="C18" s="358"/>
      <c r="D18" s="359"/>
      <c r="E18" s="359"/>
      <c r="F18" s="359"/>
      <c r="G18" s="359"/>
      <c r="H18" s="359"/>
      <c r="I18" s="359"/>
      <c r="J18" s="359"/>
      <c r="K18" s="364"/>
      <c r="L18" s="364"/>
      <c r="M18" s="364"/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60"/>
      <c r="AA18" s="361"/>
      <c r="AB18" s="361"/>
      <c r="AC18" s="362"/>
      <c r="AD18" s="363"/>
    </row>
    <row r="19" spans="2:30" s="350" customFormat="1" ht="19.7" customHeight="1">
      <c r="B19" s="357"/>
      <c r="C19" s="358"/>
      <c r="D19" s="359"/>
      <c r="E19" s="359"/>
      <c r="F19" s="359"/>
      <c r="G19" s="359"/>
      <c r="H19" s="359"/>
      <c r="I19" s="359"/>
      <c r="J19" s="359"/>
      <c r="K19" s="364"/>
      <c r="L19" s="364"/>
      <c r="M19" s="364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60"/>
      <c r="AA19" s="361"/>
      <c r="AB19" s="361"/>
      <c r="AC19" s="362"/>
      <c r="AD19" s="363"/>
    </row>
    <row r="20" spans="2:30" s="350" customFormat="1" ht="19.7" customHeight="1">
      <c r="B20" s="357"/>
      <c r="C20" s="358"/>
      <c r="D20" s="359"/>
      <c r="E20" s="359"/>
      <c r="F20" s="359"/>
      <c r="G20" s="359"/>
      <c r="H20" s="359"/>
      <c r="I20" s="359"/>
      <c r="J20" s="359"/>
      <c r="K20" s="364"/>
      <c r="L20" s="364"/>
      <c r="M20" s="364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60"/>
      <c r="AA20" s="361"/>
      <c r="AB20" s="361"/>
      <c r="AC20" s="362"/>
      <c r="AD20" s="363"/>
    </row>
    <row r="21" spans="2:30" s="350" customFormat="1" ht="19.7" customHeight="1">
      <c r="B21" s="357"/>
      <c r="C21" s="358"/>
      <c r="D21" s="359"/>
      <c r="E21" s="359"/>
      <c r="F21" s="359"/>
      <c r="G21" s="359"/>
      <c r="H21" s="359"/>
      <c r="I21" s="359"/>
      <c r="J21" s="359"/>
      <c r="K21" s="364"/>
      <c r="L21" s="364"/>
      <c r="M21" s="364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60"/>
      <c r="AA21" s="361"/>
      <c r="AB21" s="361"/>
      <c r="AC21" s="362"/>
      <c r="AD21" s="363"/>
    </row>
    <row r="22" spans="2:30" s="350" customFormat="1" ht="19.7" customHeight="1">
      <c r="B22" s="357"/>
      <c r="C22" s="358"/>
      <c r="D22" s="359"/>
      <c r="E22" s="359"/>
      <c r="F22" s="359"/>
      <c r="G22" s="359"/>
      <c r="H22" s="359"/>
      <c r="I22" s="359"/>
      <c r="J22" s="359"/>
      <c r="K22" s="364"/>
      <c r="L22" s="364"/>
      <c r="M22" s="364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60"/>
      <c r="AA22" s="361"/>
      <c r="AB22" s="361"/>
      <c r="AC22" s="362"/>
      <c r="AD22" s="363"/>
    </row>
    <row r="23" spans="2:30" s="350" customFormat="1" ht="19.7" customHeight="1">
      <c r="B23" s="357"/>
      <c r="C23" s="358"/>
      <c r="D23" s="359"/>
      <c r="E23" s="359"/>
      <c r="F23" s="359"/>
      <c r="G23" s="359"/>
      <c r="H23" s="359"/>
      <c r="I23" s="359"/>
      <c r="J23" s="359"/>
      <c r="K23" s="364"/>
      <c r="L23" s="364"/>
      <c r="M23" s="364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60"/>
      <c r="AA23" s="361"/>
      <c r="AB23" s="361"/>
      <c r="AC23" s="362"/>
      <c r="AD23" s="363"/>
    </row>
    <row r="24" spans="2:30" s="350" customFormat="1" ht="19.7" customHeight="1">
      <c r="B24" s="357"/>
      <c r="C24" s="358"/>
      <c r="D24" s="359"/>
      <c r="E24" s="359"/>
      <c r="F24" s="359"/>
      <c r="G24" s="359"/>
      <c r="H24" s="359"/>
      <c r="I24" s="359"/>
      <c r="J24" s="359"/>
      <c r="K24" s="364"/>
      <c r="L24" s="364"/>
      <c r="M24" s="364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60"/>
      <c r="AA24" s="361"/>
      <c r="AB24" s="361"/>
      <c r="AC24" s="362"/>
      <c r="AD24" s="363"/>
    </row>
    <row r="25" spans="2:30" s="350" customFormat="1" ht="19.7" customHeight="1">
      <c r="B25" s="357"/>
      <c r="C25" s="358"/>
      <c r="D25" s="359"/>
      <c r="E25" s="359"/>
      <c r="F25" s="359"/>
      <c r="G25" s="359"/>
      <c r="H25" s="359"/>
      <c r="I25" s="359"/>
      <c r="J25" s="359"/>
      <c r="K25" s="364"/>
      <c r="L25" s="364"/>
      <c r="M25" s="364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60"/>
      <c r="AA25" s="361"/>
      <c r="AB25" s="361"/>
      <c r="AC25" s="362"/>
      <c r="AD25" s="363"/>
    </row>
    <row r="26" spans="2:30" s="350" customFormat="1" ht="19.7" customHeight="1">
      <c r="B26" s="357"/>
      <c r="C26" s="358"/>
      <c r="D26" s="359"/>
      <c r="E26" s="359"/>
      <c r="F26" s="359"/>
      <c r="G26" s="359"/>
      <c r="H26" s="359"/>
      <c r="I26" s="359"/>
      <c r="J26" s="359"/>
      <c r="K26" s="364"/>
      <c r="L26" s="364"/>
      <c r="M26" s="364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60"/>
      <c r="AA26" s="361"/>
      <c r="AB26" s="361"/>
      <c r="AC26" s="362"/>
      <c r="AD26" s="363"/>
    </row>
    <row r="27" spans="2:30" s="350" customFormat="1" ht="19.7" customHeight="1">
      <c r="B27" s="357"/>
      <c r="C27" s="358"/>
      <c r="D27" s="359"/>
      <c r="E27" s="359"/>
      <c r="F27" s="359"/>
      <c r="G27" s="359"/>
      <c r="H27" s="359"/>
      <c r="I27" s="359"/>
      <c r="J27" s="359"/>
      <c r="K27" s="364"/>
      <c r="L27" s="364"/>
      <c r="M27" s="364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60"/>
      <c r="AA27" s="361"/>
      <c r="AB27" s="361"/>
      <c r="AC27" s="362"/>
      <c r="AD27" s="363"/>
    </row>
    <row r="28" spans="2:30" s="350" customFormat="1" ht="19.7" customHeight="1">
      <c r="B28" s="357" t="s">
        <v>78</v>
      </c>
      <c r="C28" s="358" t="s">
        <v>78</v>
      </c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60"/>
      <c r="AA28" s="361"/>
      <c r="AB28" s="361"/>
      <c r="AC28" s="361"/>
      <c r="AD28" s="363" t="s">
        <v>78</v>
      </c>
    </row>
    <row r="29" spans="2:30" ht="19.7" customHeight="1">
      <c r="B29" s="365" t="s">
        <v>78</v>
      </c>
      <c r="C29" s="366" t="s">
        <v>78</v>
      </c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8"/>
      <c r="AA29" s="369"/>
      <c r="AB29" s="369"/>
      <c r="AC29" s="369"/>
      <c r="AD29" s="370" t="s">
        <v>78</v>
      </c>
    </row>
  </sheetData>
  <mergeCells count="6">
    <mergeCell ref="D3:Y3"/>
    <mergeCell ref="B1:AD2"/>
    <mergeCell ref="D5:H5"/>
    <mergeCell ref="I5:J5"/>
    <mergeCell ref="K5:M5"/>
    <mergeCell ref="O5:Q5"/>
  </mergeCells>
  <phoneticPr fontId="2" type="noConversion"/>
  <pageMargins left="0.98425196850393704" right="7.874015748031496E-2" top="0.6692913385826772" bottom="0.59055118110236215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C34"/>
  <sheetViews>
    <sheetView topLeftCell="B1" workbookViewId="0">
      <pane ySplit="4" topLeftCell="A5" activePane="bottomLeft" state="frozen"/>
      <selection sqref="A1:IV65536"/>
      <selection pane="bottomLeft" activeCell="F24" sqref="F24"/>
    </sheetView>
  </sheetViews>
  <sheetFormatPr defaultColWidth="9.140625" defaultRowHeight="13.5"/>
  <cols>
    <col min="1" max="1" width="0.5703125" style="316" customWidth="1"/>
    <col min="2" max="2" width="3.42578125" style="316" customWidth="1"/>
    <col min="3" max="3" width="20" style="316" bestFit="1" customWidth="1"/>
    <col min="4" max="4" width="30.5703125" style="316" bestFit="1" customWidth="1"/>
    <col min="5" max="5" width="3.42578125" style="316" customWidth="1"/>
    <col min="6" max="6" width="10.42578125" style="316" bestFit="1" customWidth="1"/>
    <col min="7" max="7" width="9.42578125" style="316" bestFit="1" customWidth="1"/>
    <col min="8" max="8" width="10.42578125" style="316" bestFit="1" customWidth="1"/>
    <col min="9" max="9" width="6" style="316" customWidth="1"/>
    <col min="10" max="10" width="10.42578125" style="316" bestFit="1" customWidth="1"/>
    <col min="11" max="11" width="6" style="316" customWidth="1"/>
    <col min="12" max="12" width="10.42578125" style="316" bestFit="1" customWidth="1"/>
    <col min="13" max="13" width="6" style="316" customWidth="1"/>
    <col min="14" max="14" width="10.42578125" style="316" bestFit="1" customWidth="1"/>
    <col min="15" max="17" width="6" style="316" customWidth="1"/>
    <col min="18" max="18" width="10.42578125" style="316" bestFit="1" customWidth="1"/>
    <col min="19" max="19" width="13.140625" style="316" bestFit="1" customWidth="1"/>
    <col min="20" max="20" width="4" style="316" customWidth="1"/>
    <col min="21" max="21" width="7.5703125" style="316" customWidth="1"/>
    <col min="22" max="22" width="10.42578125" style="316" bestFit="1" customWidth="1"/>
    <col min="23" max="16384" width="9.140625" style="316"/>
  </cols>
  <sheetData>
    <row r="1" spans="2:29" ht="24.95" customHeight="1">
      <c r="B1" s="512" t="s">
        <v>28</v>
      </c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</row>
    <row r="2" spans="2:29" ht="9.9499999999999993" customHeight="1"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</row>
    <row r="3" spans="2:29" ht="15.6" customHeight="1">
      <c r="B3" s="525" t="s">
        <v>22</v>
      </c>
      <c r="C3" s="518" t="s">
        <v>71</v>
      </c>
      <c r="D3" s="518" t="s">
        <v>57</v>
      </c>
      <c r="E3" s="518" t="s">
        <v>29</v>
      </c>
      <c r="F3" s="520" t="s">
        <v>33</v>
      </c>
      <c r="G3" s="521"/>
      <c r="H3" s="520" t="s">
        <v>70</v>
      </c>
      <c r="I3" s="521"/>
      <c r="J3" s="520" t="s">
        <v>54</v>
      </c>
      <c r="K3" s="521"/>
      <c r="L3" s="520" t="s">
        <v>12</v>
      </c>
      <c r="M3" s="521"/>
      <c r="N3" s="520" t="s">
        <v>26</v>
      </c>
      <c r="O3" s="521"/>
      <c r="P3" s="520" t="s">
        <v>23</v>
      </c>
      <c r="Q3" s="521"/>
      <c r="R3" s="518" t="s">
        <v>60</v>
      </c>
      <c r="S3" s="518" t="s">
        <v>15</v>
      </c>
      <c r="T3" s="518" t="s">
        <v>9</v>
      </c>
      <c r="U3" s="518" t="s">
        <v>36</v>
      </c>
      <c r="V3" s="514" t="s">
        <v>27</v>
      </c>
      <c r="Z3" s="316" t="s">
        <v>43</v>
      </c>
      <c r="AA3" s="316" t="s">
        <v>51</v>
      </c>
      <c r="AB3" s="316" t="s">
        <v>76</v>
      </c>
      <c r="AC3" s="316" t="s">
        <v>47</v>
      </c>
    </row>
    <row r="4" spans="2:29" ht="19.7" customHeight="1">
      <c r="B4" s="526"/>
      <c r="C4" s="519"/>
      <c r="D4" s="519"/>
      <c r="E4" s="519"/>
      <c r="F4" s="336" t="s">
        <v>1</v>
      </c>
      <c r="G4" s="337" t="s">
        <v>63</v>
      </c>
      <c r="H4" s="336" t="s">
        <v>1</v>
      </c>
      <c r="I4" s="337" t="s">
        <v>63</v>
      </c>
      <c r="J4" s="336" t="s">
        <v>1</v>
      </c>
      <c r="K4" s="337" t="s">
        <v>63</v>
      </c>
      <c r="L4" s="336" t="s">
        <v>1</v>
      </c>
      <c r="M4" s="337" t="s">
        <v>63</v>
      </c>
      <c r="N4" s="336" t="s">
        <v>1</v>
      </c>
      <c r="O4" s="337" t="s">
        <v>63</v>
      </c>
      <c r="P4" s="336" t="s">
        <v>1</v>
      </c>
      <c r="Q4" s="337" t="s">
        <v>63</v>
      </c>
      <c r="R4" s="519"/>
      <c r="S4" s="519"/>
      <c r="T4" s="519"/>
      <c r="U4" s="519"/>
      <c r="V4" s="515"/>
    </row>
    <row r="5" spans="2:29" ht="19.7" customHeight="1">
      <c r="B5" s="338" t="s">
        <v>24</v>
      </c>
      <c r="C5" s="339" t="s">
        <v>25</v>
      </c>
      <c r="D5" s="339" t="s">
        <v>78</v>
      </c>
      <c r="E5" s="340" t="s">
        <v>59</v>
      </c>
      <c r="F5" s="341"/>
      <c r="G5" s="339"/>
      <c r="H5" s="341">
        <v>1650</v>
      </c>
      <c r="I5" s="322" t="s">
        <v>186</v>
      </c>
      <c r="J5" s="341"/>
      <c r="K5" s="339" t="s">
        <v>78</v>
      </c>
      <c r="L5" s="341"/>
      <c r="M5" s="339" t="s">
        <v>78</v>
      </c>
      <c r="N5" s="341"/>
      <c r="O5" s="339" t="s">
        <v>78</v>
      </c>
      <c r="P5" s="341"/>
      <c r="Q5" s="339" t="s">
        <v>78</v>
      </c>
      <c r="R5" s="342">
        <f>MIN(F5,H5,J5,L5,N5,P5)</f>
        <v>1650</v>
      </c>
      <c r="S5" s="339" t="s">
        <v>30</v>
      </c>
      <c r="T5" s="342" t="s">
        <v>73</v>
      </c>
      <c r="U5" s="342" t="s">
        <v>14</v>
      </c>
      <c r="V5" s="343" t="s">
        <v>65</v>
      </c>
      <c r="Z5" s="326">
        <v>1194</v>
      </c>
    </row>
    <row r="6" spans="2:29" ht="19.7" customHeight="1">
      <c r="B6" s="321">
        <v>2</v>
      </c>
      <c r="C6" s="322" t="s">
        <v>55</v>
      </c>
      <c r="D6" s="322" t="s">
        <v>40</v>
      </c>
      <c r="E6" s="323" t="s">
        <v>58</v>
      </c>
      <c r="F6" s="344"/>
      <c r="G6" s="322" t="s">
        <v>78</v>
      </c>
      <c r="H6" s="344">
        <v>3782</v>
      </c>
      <c r="I6" s="322" t="s">
        <v>185</v>
      </c>
      <c r="J6" s="344"/>
      <c r="K6" s="322"/>
      <c r="L6" s="344"/>
      <c r="M6" s="322"/>
      <c r="N6" s="344"/>
      <c r="O6" s="322" t="s">
        <v>78</v>
      </c>
      <c r="P6" s="344"/>
      <c r="Q6" s="322" t="s">
        <v>78</v>
      </c>
      <c r="R6" s="324">
        <f>MIN(F6,H6,J6,L6,N6,P6)</f>
        <v>3782</v>
      </c>
      <c r="S6" s="322" t="s">
        <v>78</v>
      </c>
      <c r="T6" s="324" t="s">
        <v>75</v>
      </c>
      <c r="U6" s="324" t="s">
        <v>14</v>
      </c>
      <c r="V6" s="345" t="s">
        <v>66</v>
      </c>
      <c r="Z6" s="326">
        <v>2605</v>
      </c>
    </row>
    <row r="7" spans="2:29" ht="19.7" customHeight="1">
      <c r="B7" s="321"/>
      <c r="C7" s="322"/>
      <c r="D7" s="322"/>
      <c r="E7" s="323"/>
      <c r="F7" s="344"/>
      <c r="G7" s="322"/>
      <c r="H7" s="344"/>
      <c r="I7" s="322"/>
      <c r="J7" s="344"/>
      <c r="K7" s="322"/>
      <c r="L7" s="344"/>
      <c r="M7" s="322"/>
      <c r="N7" s="344"/>
      <c r="O7" s="322"/>
      <c r="P7" s="344"/>
      <c r="Q7" s="322"/>
      <c r="R7" s="324"/>
      <c r="S7" s="322"/>
      <c r="T7" s="324"/>
      <c r="U7" s="324"/>
      <c r="V7" s="345"/>
      <c r="Z7" s="326"/>
    </row>
    <row r="8" spans="2:29" ht="19.7" customHeight="1">
      <c r="B8" s="321"/>
      <c r="C8" s="322"/>
      <c r="D8" s="322"/>
      <c r="E8" s="323"/>
      <c r="F8" s="344"/>
      <c r="G8" s="322"/>
      <c r="H8" s="344"/>
      <c r="I8" s="322"/>
      <c r="J8" s="344"/>
      <c r="K8" s="322"/>
      <c r="L8" s="344"/>
      <c r="M8" s="322"/>
      <c r="N8" s="344"/>
      <c r="O8" s="322"/>
      <c r="P8" s="344"/>
      <c r="Q8" s="322"/>
      <c r="R8" s="324"/>
      <c r="S8" s="322"/>
      <c r="T8" s="324"/>
      <c r="U8" s="324"/>
      <c r="V8" s="345"/>
      <c r="Z8" s="326"/>
    </row>
    <row r="9" spans="2:29" ht="19.7" hidden="1" customHeight="1">
      <c r="B9" s="321"/>
      <c r="C9" s="322"/>
      <c r="D9" s="322"/>
      <c r="E9" s="323"/>
      <c r="F9" s="344"/>
      <c r="G9" s="322"/>
      <c r="H9" s="344"/>
      <c r="I9" s="322"/>
      <c r="J9" s="344"/>
      <c r="K9" s="322"/>
      <c r="L9" s="344"/>
      <c r="M9" s="322"/>
      <c r="N9" s="344"/>
      <c r="O9" s="322"/>
      <c r="P9" s="344"/>
      <c r="Q9" s="322"/>
      <c r="R9" s="324"/>
      <c r="S9" s="322"/>
      <c r="T9" s="324"/>
      <c r="U9" s="324"/>
      <c r="V9" s="345"/>
      <c r="Z9" s="326"/>
    </row>
    <row r="10" spans="2:29" ht="19.7" hidden="1" customHeight="1">
      <c r="B10" s="321"/>
      <c r="C10" s="322"/>
      <c r="D10" s="322"/>
      <c r="E10" s="323"/>
      <c r="F10" s="344"/>
      <c r="G10" s="322"/>
      <c r="H10" s="344"/>
      <c r="I10" s="322"/>
      <c r="J10" s="344"/>
      <c r="K10" s="322"/>
      <c r="L10" s="344"/>
      <c r="M10" s="322"/>
      <c r="N10" s="344"/>
      <c r="O10" s="322"/>
      <c r="P10" s="344"/>
      <c r="Q10" s="322"/>
      <c r="R10" s="324"/>
      <c r="S10" s="322"/>
      <c r="T10" s="324"/>
      <c r="U10" s="324"/>
      <c r="V10" s="345"/>
      <c r="Z10" s="326"/>
    </row>
    <row r="11" spans="2:29" ht="19.7" hidden="1" customHeight="1">
      <c r="B11" s="321"/>
      <c r="C11" s="322"/>
      <c r="D11" s="322"/>
      <c r="E11" s="323"/>
      <c r="F11" s="344"/>
      <c r="G11" s="322"/>
      <c r="H11" s="344"/>
      <c r="I11" s="322"/>
      <c r="J11" s="344"/>
      <c r="K11" s="322"/>
      <c r="L11" s="344"/>
      <c r="M11" s="322"/>
      <c r="N11" s="344"/>
      <c r="O11" s="322"/>
      <c r="P11" s="344"/>
      <c r="Q11" s="322"/>
      <c r="R11" s="324"/>
      <c r="S11" s="322"/>
      <c r="T11" s="324"/>
      <c r="U11" s="324"/>
      <c r="V11" s="345"/>
      <c r="Z11" s="326"/>
    </row>
    <row r="12" spans="2:29" ht="19.7" hidden="1" customHeight="1">
      <c r="B12" s="321"/>
      <c r="C12" s="322"/>
      <c r="D12" s="322"/>
      <c r="E12" s="323"/>
      <c r="F12" s="344"/>
      <c r="G12" s="322"/>
      <c r="H12" s="344"/>
      <c r="I12" s="322"/>
      <c r="J12" s="344"/>
      <c r="K12" s="322"/>
      <c r="L12" s="344"/>
      <c r="M12" s="322"/>
      <c r="N12" s="344"/>
      <c r="O12" s="322"/>
      <c r="P12" s="344"/>
      <c r="Q12" s="322"/>
      <c r="R12" s="324"/>
      <c r="S12" s="322"/>
      <c r="T12" s="324"/>
      <c r="U12" s="324"/>
      <c r="V12" s="345"/>
      <c r="Z12" s="326"/>
    </row>
    <row r="13" spans="2:29" ht="19.7" hidden="1" customHeight="1">
      <c r="B13" s="321"/>
      <c r="C13" s="322"/>
      <c r="D13" s="322"/>
      <c r="E13" s="323"/>
      <c r="F13" s="344"/>
      <c r="G13" s="322"/>
      <c r="H13" s="344"/>
      <c r="I13" s="322"/>
      <c r="J13" s="344"/>
      <c r="K13" s="322"/>
      <c r="L13" s="344"/>
      <c r="M13" s="322"/>
      <c r="N13" s="344"/>
      <c r="O13" s="322"/>
      <c r="P13" s="344"/>
      <c r="Q13" s="322"/>
      <c r="R13" s="324"/>
      <c r="S13" s="322"/>
      <c r="T13" s="324"/>
      <c r="U13" s="324"/>
      <c r="V13" s="345"/>
      <c r="Z13" s="326"/>
    </row>
    <row r="14" spans="2:29" ht="19.7" hidden="1" customHeight="1">
      <c r="B14" s="321"/>
      <c r="C14" s="322"/>
      <c r="D14" s="322"/>
      <c r="E14" s="323"/>
      <c r="F14" s="344"/>
      <c r="G14" s="322"/>
      <c r="H14" s="344"/>
      <c r="I14" s="322"/>
      <c r="J14" s="344"/>
      <c r="K14" s="322"/>
      <c r="L14" s="344"/>
      <c r="M14" s="322"/>
      <c r="N14" s="344"/>
      <c r="O14" s="322"/>
      <c r="P14" s="344"/>
      <c r="Q14" s="322"/>
      <c r="R14" s="324"/>
      <c r="S14" s="322"/>
      <c r="T14" s="324"/>
      <c r="U14" s="324"/>
      <c r="V14" s="345"/>
      <c r="Z14" s="326"/>
    </row>
    <row r="15" spans="2:29" ht="19.7" customHeight="1">
      <c r="B15" s="321"/>
      <c r="C15" s="322"/>
      <c r="D15" s="322"/>
      <c r="E15" s="323"/>
      <c r="F15" s="344"/>
      <c r="G15" s="322"/>
      <c r="H15" s="344"/>
      <c r="I15" s="322"/>
      <c r="J15" s="344"/>
      <c r="K15" s="322"/>
      <c r="L15" s="344"/>
      <c r="M15" s="322"/>
      <c r="N15" s="344"/>
      <c r="O15" s="322"/>
      <c r="P15" s="344"/>
      <c r="Q15" s="322"/>
      <c r="R15" s="324"/>
      <c r="S15" s="322"/>
      <c r="T15" s="324"/>
      <c r="U15" s="324"/>
      <c r="V15" s="345"/>
      <c r="Z15" s="326"/>
    </row>
    <row r="16" spans="2:29" ht="19.7" customHeight="1">
      <c r="B16" s="321"/>
      <c r="C16" s="322"/>
      <c r="D16" s="322"/>
      <c r="E16" s="323"/>
      <c r="F16" s="344"/>
      <c r="G16" s="322"/>
      <c r="H16" s="344"/>
      <c r="I16" s="322"/>
      <c r="J16" s="344"/>
      <c r="K16" s="322"/>
      <c r="L16" s="344"/>
      <c r="M16" s="322"/>
      <c r="N16" s="344"/>
      <c r="O16" s="322"/>
      <c r="P16" s="344"/>
      <c r="Q16" s="322"/>
      <c r="R16" s="324"/>
      <c r="S16" s="322"/>
      <c r="T16" s="324"/>
      <c r="U16" s="324"/>
      <c r="V16" s="345"/>
      <c r="Z16" s="326"/>
    </row>
    <row r="17" spans="2:26" ht="19.7" customHeight="1">
      <c r="B17" s="321"/>
      <c r="C17" s="322"/>
      <c r="D17" s="322"/>
      <c r="E17" s="323"/>
      <c r="F17" s="344"/>
      <c r="G17" s="322"/>
      <c r="H17" s="344"/>
      <c r="I17" s="322"/>
      <c r="J17" s="344"/>
      <c r="K17" s="322"/>
      <c r="L17" s="344"/>
      <c r="M17" s="322"/>
      <c r="N17" s="344"/>
      <c r="O17" s="322"/>
      <c r="P17" s="344"/>
      <c r="Q17" s="322"/>
      <c r="R17" s="324"/>
      <c r="S17" s="322"/>
      <c r="T17" s="324"/>
      <c r="U17" s="324"/>
      <c r="V17" s="345"/>
      <c r="Z17" s="326"/>
    </row>
    <row r="18" spans="2:26" ht="19.7" customHeight="1">
      <c r="B18" s="321"/>
      <c r="C18" s="322"/>
      <c r="D18" s="322"/>
      <c r="E18" s="323"/>
      <c r="F18" s="344"/>
      <c r="G18" s="322"/>
      <c r="H18" s="344"/>
      <c r="I18" s="322"/>
      <c r="J18" s="344"/>
      <c r="K18" s="322"/>
      <c r="L18" s="344"/>
      <c r="M18" s="322"/>
      <c r="N18" s="344"/>
      <c r="O18" s="322"/>
      <c r="P18" s="344"/>
      <c r="Q18" s="322"/>
      <c r="R18" s="324"/>
      <c r="S18" s="322"/>
      <c r="T18" s="324"/>
      <c r="U18" s="324"/>
      <c r="V18" s="345"/>
      <c r="Z18" s="326"/>
    </row>
    <row r="19" spans="2:26" ht="19.7" customHeight="1">
      <c r="B19" s="321"/>
      <c r="C19" s="322"/>
      <c r="D19" s="322"/>
      <c r="E19" s="323"/>
      <c r="F19" s="344"/>
      <c r="G19" s="322"/>
      <c r="H19" s="344"/>
      <c r="I19" s="322"/>
      <c r="J19" s="344"/>
      <c r="K19" s="322"/>
      <c r="L19" s="344"/>
      <c r="M19" s="322"/>
      <c r="N19" s="344"/>
      <c r="O19" s="322"/>
      <c r="P19" s="344"/>
      <c r="Q19" s="322"/>
      <c r="R19" s="324"/>
      <c r="S19" s="322"/>
      <c r="T19" s="324"/>
      <c r="U19" s="324"/>
      <c r="V19" s="345"/>
      <c r="Z19" s="326"/>
    </row>
    <row r="20" spans="2:26" ht="19.7" customHeight="1">
      <c r="B20" s="321"/>
      <c r="C20" s="322"/>
      <c r="D20" s="322"/>
      <c r="E20" s="323"/>
      <c r="F20" s="344"/>
      <c r="G20" s="322"/>
      <c r="H20" s="344"/>
      <c r="I20" s="322"/>
      <c r="J20" s="344"/>
      <c r="K20" s="322"/>
      <c r="L20" s="344"/>
      <c r="M20" s="322"/>
      <c r="N20" s="344"/>
      <c r="O20" s="322"/>
      <c r="P20" s="344"/>
      <c r="Q20" s="322"/>
      <c r="R20" s="324"/>
      <c r="S20" s="322"/>
      <c r="T20" s="324"/>
      <c r="U20" s="324"/>
      <c r="V20" s="345"/>
      <c r="Z20" s="326"/>
    </row>
    <row r="21" spans="2:26" ht="19.7" customHeight="1">
      <c r="B21" s="321"/>
      <c r="C21" s="322"/>
      <c r="D21" s="322"/>
      <c r="E21" s="323"/>
      <c r="F21" s="344"/>
      <c r="G21" s="322"/>
      <c r="H21" s="344"/>
      <c r="I21" s="322"/>
      <c r="J21" s="344"/>
      <c r="K21" s="322"/>
      <c r="L21" s="344"/>
      <c r="M21" s="322"/>
      <c r="N21" s="344"/>
      <c r="O21" s="322"/>
      <c r="P21" s="344"/>
      <c r="Q21" s="322"/>
      <c r="R21" s="324"/>
      <c r="S21" s="322"/>
      <c r="T21" s="324"/>
      <c r="U21" s="324"/>
      <c r="V21" s="345"/>
      <c r="Z21" s="326"/>
    </row>
    <row r="22" spans="2:26" ht="19.7" customHeight="1">
      <c r="B22" s="321"/>
      <c r="C22" s="322"/>
      <c r="D22" s="322"/>
      <c r="E22" s="323"/>
      <c r="F22" s="344"/>
      <c r="G22" s="322"/>
      <c r="H22" s="344"/>
      <c r="I22" s="322"/>
      <c r="J22" s="344"/>
      <c r="K22" s="322"/>
      <c r="L22" s="344"/>
      <c r="M22" s="322"/>
      <c r="N22" s="344"/>
      <c r="O22" s="322"/>
      <c r="P22" s="344"/>
      <c r="Q22" s="322"/>
      <c r="R22" s="324"/>
      <c r="S22" s="322"/>
      <c r="T22" s="324"/>
      <c r="U22" s="324"/>
      <c r="V22" s="345"/>
      <c r="Z22" s="326"/>
    </row>
    <row r="23" spans="2:26" ht="19.7" customHeight="1">
      <c r="B23" s="321"/>
      <c r="C23" s="322"/>
      <c r="D23" s="322"/>
      <c r="E23" s="323"/>
      <c r="F23" s="344"/>
      <c r="G23" s="322"/>
      <c r="H23" s="344"/>
      <c r="I23" s="322"/>
      <c r="J23" s="344"/>
      <c r="K23" s="322"/>
      <c r="L23" s="344"/>
      <c r="M23" s="322"/>
      <c r="N23" s="344"/>
      <c r="O23" s="322"/>
      <c r="P23" s="344"/>
      <c r="Q23" s="322"/>
      <c r="R23" s="324"/>
      <c r="S23" s="322"/>
      <c r="T23" s="324"/>
      <c r="U23" s="324"/>
      <c r="V23" s="345"/>
      <c r="Z23" s="326"/>
    </row>
    <row r="24" spans="2:26" ht="19.7" customHeight="1">
      <c r="B24" s="321"/>
      <c r="C24" s="322"/>
      <c r="D24" s="322"/>
      <c r="E24" s="323"/>
      <c r="F24" s="344"/>
      <c r="G24" s="322"/>
      <c r="H24" s="344"/>
      <c r="I24" s="322"/>
      <c r="J24" s="344"/>
      <c r="K24" s="322"/>
      <c r="L24" s="344"/>
      <c r="M24" s="322"/>
      <c r="N24" s="344"/>
      <c r="O24" s="322"/>
      <c r="P24" s="344"/>
      <c r="Q24" s="322"/>
      <c r="R24" s="324"/>
      <c r="S24" s="322"/>
      <c r="T24" s="324"/>
      <c r="U24" s="324"/>
      <c r="V24" s="345"/>
      <c r="Z24" s="326"/>
    </row>
    <row r="25" spans="2:26" ht="19.7" customHeight="1">
      <c r="B25" s="321"/>
      <c r="C25" s="322"/>
      <c r="D25" s="322"/>
      <c r="E25" s="323"/>
      <c r="F25" s="344"/>
      <c r="G25" s="322"/>
      <c r="H25" s="344"/>
      <c r="I25" s="322"/>
      <c r="J25" s="344"/>
      <c r="K25" s="322"/>
      <c r="L25" s="344"/>
      <c r="M25" s="322"/>
      <c r="N25" s="344"/>
      <c r="O25" s="322"/>
      <c r="P25" s="344"/>
      <c r="Q25" s="322"/>
      <c r="R25" s="324"/>
      <c r="S25" s="322"/>
      <c r="T25" s="324"/>
      <c r="U25" s="324"/>
      <c r="V25" s="345"/>
      <c r="Z25" s="326"/>
    </row>
    <row r="26" spans="2:26" ht="19.7" customHeight="1">
      <c r="B26" s="321"/>
      <c r="C26" s="322"/>
      <c r="D26" s="322"/>
      <c r="E26" s="323"/>
      <c r="F26" s="344"/>
      <c r="G26" s="322"/>
      <c r="H26" s="344"/>
      <c r="I26" s="322"/>
      <c r="J26" s="344"/>
      <c r="K26" s="322"/>
      <c r="L26" s="344"/>
      <c r="M26" s="322"/>
      <c r="N26" s="344"/>
      <c r="O26" s="322"/>
      <c r="P26" s="344"/>
      <c r="Q26" s="322"/>
      <c r="R26" s="324"/>
      <c r="S26" s="322"/>
      <c r="T26" s="324"/>
      <c r="U26" s="324"/>
      <c r="V26" s="345"/>
      <c r="Z26" s="326"/>
    </row>
    <row r="27" spans="2:26" ht="19.7" customHeight="1">
      <c r="B27" s="321"/>
      <c r="C27" s="322"/>
      <c r="D27" s="322"/>
      <c r="E27" s="323"/>
      <c r="F27" s="344"/>
      <c r="G27" s="322"/>
      <c r="H27" s="344"/>
      <c r="I27" s="322"/>
      <c r="J27" s="344"/>
      <c r="K27" s="322"/>
      <c r="L27" s="344"/>
      <c r="M27" s="322"/>
      <c r="N27" s="344"/>
      <c r="O27" s="322"/>
      <c r="P27" s="344"/>
      <c r="Q27" s="322"/>
      <c r="R27" s="324"/>
      <c r="S27" s="322"/>
      <c r="T27" s="324"/>
      <c r="U27" s="324"/>
      <c r="V27" s="345"/>
      <c r="Z27" s="326"/>
    </row>
    <row r="28" spans="2:26" ht="19.7" customHeight="1">
      <c r="B28" s="321"/>
      <c r="C28" s="322"/>
      <c r="D28" s="322"/>
      <c r="E28" s="323"/>
      <c r="F28" s="344"/>
      <c r="G28" s="322"/>
      <c r="H28" s="344"/>
      <c r="I28" s="322"/>
      <c r="J28" s="344"/>
      <c r="K28" s="322"/>
      <c r="L28" s="344"/>
      <c r="M28" s="322"/>
      <c r="N28" s="344"/>
      <c r="O28" s="322"/>
      <c r="P28" s="344"/>
      <c r="Q28" s="322"/>
      <c r="R28" s="324"/>
      <c r="S28" s="322"/>
      <c r="T28" s="324"/>
      <c r="U28" s="324"/>
      <c r="V28" s="345"/>
      <c r="Z28" s="326"/>
    </row>
    <row r="29" spans="2:26" ht="19.7" customHeight="1">
      <c r="B29" s="321"/>
      <c r="C29" s="322"/>
      <c r="D29" s="322"/>
      <c r="E29" s="323"/>
      <c r="F29" s="344"/>
      <c r="G29" s="322"/>
      <c r="H29" s="344"/>
      <c r="I29" s="322"/>
      <c r="J29" s="344"/>
      <c r="K29" s="322"/>
      <c r="L29" s="344"/>
      <c r="M29" s="322"/>
      <c r="N29" s="344"/>
      <c r="O29" s="322"/>
      <c r="P29" s="344"/>
      <c r="Q29" s="322"/>
      <c r="R29" s="324"/>
      <c r="S29" s="322"/>
      <c r="T29" s="324"/>
      <c r="U29" s="324"/>
      <c r="V29" s="345"/>
      <c r="Z29" s="326"/>
    </row>
    <row r="30" spans="2:26" ht="19.7" customHeight="1">
      <c r="B30" s="321"/>
      <c r="C30" s="322"/>
      <c r="D30" s="322"/>
      <c r="E30" s="323"/>
      <c r="F30" s="344"/>
      <c r="G30" s="322"/>
      <c r="H30" s="344"/>
      <c r="I30" s="322"/>
      <c r="J30" s="344"/>
      <c r="K30" s="322"/>
      <c r="L30" s="344"/>
      <c r="M30" s="322"/>
      <c r="N30" s="344"/>
      <c r="O30" s="322"/>
      <c r="P30" s="344"/>
      <c r="Q30" s="322"/>
      <c r="R30" s="324"/>
      <c r="S30" s="322"/>
      <c r="T30" s="324"/>
      <c r="U30" s="324"/>
      <c r="V30" s="345"/>
      <c r="Z30" s="326"/>
    </row>
    <row r="31" spans="2:26" ht="19.7" customHeight="1">
      <c r="B31" s="321"/>
      <c r="C31" s="322"/>
      <c r="D31" s="322"/>
      <c r="E31" s="323"/>
      <c r="F31" s="344"/>
      <c r="G31" s="322"/>
      <c r="H31" s="344"/>
      <c r="I31" s="322"/>
      <c r="J31" s="344"/>
      <c r="K31" s="322"/>
      <c r="L31" s="344"/>
      <c r="M31" s="322"/>
      <c r="N31" s="344"/>
      <c r="O31" s="322"/>
      <c r="P31" s="344"/>
      <c r="Q31" s="322"/>
      <c r="R31" s="324"/>
      <c r="S31" s="322"/>
      <c r="T31" s="324"/>
      <c r="U31" s="324"/>
      <c r="V31" s="345"/>
      <c r="Z31" s="326"/>
    </row>
    <row r="32" spans="2:26" ht="19.7" customHeight="1">
      <c r="B32" s="321"/>
      <c r="C32" s="322"/>
      <c r="D32" s="322"/>
      <c r="E32" s="323"/>
      <c r="F32" s="344"/>
      <c r="G32" s="322"/>
      <c r="H32" s="344"/>
      <c r="I32" s="322"/>
      <c r="J32" s="344"/>
      <c r="K32" s="322"/>
      <c r="L32" s="344"/>
      <c r="M32" s="322"/>
      <c r="N32" s="344"/>
      <c r="O32" s="322"/>
      <c r="P32" s="344"/>
      <c r="Q32" s="322"/>
      <c r="R32" s="324"/>
      <c r="S32" s="322"/>
      <c r="T32" s="324"/>
      <c r="U32" s="324"/>
      <c r="V32" s="345"/>
      <c r="Z32" s="326"/>
    </row>
    <row r="33" spans="2:26" ht="19.7" customHeight="1">
      <c r="B33" s="321"/>
      <c r="C33" s="322"/>
      <c r="D33" s="322"/>
      <c r="E33" s="323"/>
      <c r="F33" s="344"/>
      <c r="G33" s="322"/>
      <c r="H33" s="344"/>
      <c r="I33" s="322"/>
      <c r="J33" s="344"/>
      <c r="K33" s="322"/>
      <c r="L33" s="344"/>
      <c r="M33" s="322"/>
      <c r="N33" s="344"/>
      <c r="O33" s="322"/>
      <c r="P33" s="344"/>
      <c r="Q33" s="322"/>
      <c r="R33" s="324"/>
      <c r="S33" s="322"/>
      <c r="T33" s="324"/>
      <c r="U33" s="324"/>
      <c r="V33" s="345"/>
      <c r="Z33" s="326"/>
    </row>
    <row r="34" spans="2:26" ht="19.7" customHeight="1">
      <c r="B34" s="346"/>
      <c r="C34" s="332"/>
      <c r="D34" s="332"/>
      <c r="E34" s="333"/>
      <c r="F34" s="347"/>
      <c r="G34" s="332"/>
      <c r="H34" s="347"/>
      <c r="I34" s="332"/>
      <c r="J34" s="347"/>
      <c r="K34" s="332"/>
      <c r="L34" s="347"/>
      <c r="M34" s="332"/>
      <c r="N34" s="347"/>
      <c r="O34" s="332"/>
      <c r="P34" s="347"/>
      <c r="Q34" s="332"/>
      <c r="R34" s="334"/>
      <c r="S34" s="332"/>
      <c r="T34" s="334"/>
      <c r="U34" s="334"/>
      <c r="V34" s="348"/>
      <c r="Z34" s="326"/>
    </row>
  </sheetData>
  <mergeCells count="16">
    <mergeCell ref="T3:T4"/>
    <mergeCell ref="U3:U4"/>
    <mergeCell ref="V3:V4"/>
    <mergeCell ref="B1:V2"/>
    <mergeCell ref="J3:K3"/>
    <mergeCell ref="L3:M3"/>
    <mergeCell ref="N3:O3"/>
    <mergeCell ref="P3:Q3"/>
    <mergeCell ref="R3:R4"/>
    <mergeCell ref="S3:S4"/>
    <mergeCell ref="B3:B4"/>
    <mergeCell ref="C3:C4"/>
    <mergeCell ref="D3:D4"/>
    <mergeCell ref="E3:E4"/>
    <mergeCell ref="F3:G3"/>
    <mergeCell ref="H3:I3"/>
  </mergeCells>
  <phoneticPr fontId="2" type="noConversion"/>
  <pageMargins left="0.59055118110236227" right="7.874015748031496E-2" top="0.6692913385826772" bottom="0.59055118110236227" header="0.51181102362204722" footer="0.51181102362204722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C9"/>
  <sheetViews>
    <sheetView workbookViewId="0">
      <pane ySplit="3" topLeftCell="A4" activePane="bottomLeft" state="frozen"/>
      <selection sqref="A1:IV65536"/>
      <selection pane="bottomLeft" activeCell="I20" sqref="I20"/>
    </sheetView>
  </sheetViews>
  <sheetFormatPr defaultColWidth="9.140625" defaultRowHeight="13.5"/>
  <cols>
    <col min="1" max="1" width="0.5703125" style="316" customWidth="1"/>
    <col min="2" max="2" width="3.140625" style="316" customWidth="1"/>
    <col min="3" max="3" width="14.140625" style="316" customWidth="1"/>
    <col min="4" max="4" width="11.5703125" style="316" customWidth="1"/>
    <col min="5" max="5" width="3.140625" style="316" customWidth="1"/>
    <col min="6" max="6" width="7.5703125" style="316" bestFit="1" customWidth="1"/>
    <col min="7" max="7" width="5.5703125" style="316" customWidth="1"/>
    <col min="8" max="11" width="5.42578125" style="316" customWidth="1"/>
    <col min="12" max="12" width="9.140625" style="316" bestFit="1" customWidth="1"/>
    <col min="13" max="13" width="9.42578125" style="316" customWidth="1"/>
    <col min="14" max="14" width="7.42578125" style="316" customWidth="1"/>
    <col min="15" max="15" width="10.42578125" style="316" bestFit="1" customWidth="1"/>
    <col min="16" max="16384" width="9.140625" style="316"/>
  </cols>
  <sheetData>
    <row r="1" spans="2:29" ht="24.95" customHeight="1">
      <c r="B1" s="512" t="s">
        <v>56</v>
      </c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</row>
    <row r="2" spans="2:29" ht="9.9499999999999993" customHeight="1"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</row>
    <row r="3" spans="2:29" ht="27.95" customHeight="1">
      <c r="B3" s="318" t="s">
        <v>22</v>
      </c>
      <c r="C3" s="319" t="s">
        <v>71</v>
      </c>
      <c r="D3" s="319" t="s">
        <v>57</v>
      </c>
      <c r="E3" s="319" t="s">
        <v>29</v>
      </c>
      <c r="F3" s="319" t="s">
        <v>31</v>
      </c>
      <c r="G3" s="319" t="s">
        <v>48</v>
      </c>
      <c r="H3" s="319" t="s">
        <v>69</v>
      </c>
      <c r="I3" s="319" t="s">
        <v>19</v>
      </c>
      <c r="J3" s="319" t="s">
        <v>32</v>
      </c>
      <c r="K3" s="319" t="s">
        <v>50</v>
      </c>
      <c r="L3" s="319" t="s">
        <v>60</v>
      </c>
      <c r="M3" s="319" t="s">
        <v>15</v>
      </c>
      <c r="N3" s="319" t="s">
        <v>36</v>
      </c>
      <c r="O3" s="320" t="s">
        <v>27</v>
      </c>
      <c r="Z3" s="316" t="s">
        <v>43</v>
      </c>
      <c r="AA3" s="316" t="s">
        <v>51</v>
      </c>
      <c r="AB3" s="316" t="s">
        <v>76</v>
      </c>
      <c r="AC3" s="316" t="s">
        <v>47</v>
      </c>
    </row>
    <row r="4" spans="2:29" ht="22.35" customHeight="1">
      <c r="B4" s="321" t="s">
        <v>24</v>
      </c>
      <c r="C4" s="322" t="s">
        <v>183</v>
      </c>
      <c r="D4" s="322" t="s">
        <v>78</v>
      </c>
      <c r="E4" s="323" t="s">
        <v>78</v>
      </c>
      <c r="F4" s="324"/>
      <c r="G4" s="324"/>
      <c r="H4" s="324"/>
      <c r="I4" s="324"/>
      <c r="J4" s="324"/>
      <c r="K4" s="324"/>
      <c r="L4" s="324"/>
      <c r="M4" s="322" t="s">
        <v>78</v>
      </c>
      <c r="N4" s="324" t="s">
        <v>14</v>
      </c>
      <c r="O4" s="325">
        <v>44409</v>
      </c>
    </row>
    <row r="5" spans="2:29" ht="22.35" customHeight="1">
      <c r="B5" s="321">
        <v>2</v>
      </c>
      <c r="C5" s="322" t="s">
        <v>6</v>
      </c>
      <c r="D5" s="322" t="s">
        <v>78</v>
      </c>
      <c r="E5" s="323" t="s">
        <v>68</v>
      </c>
      <c r="F5" s="324">
        <v>144481</v>
      </c>
      <c r="G5" s="324"/>
      <c r="H5" s="324"/>
      <c r="I5" s="324"/>
      <c r="J5" s="324"/>
      <c r="K5" s="324"/>
      <c r="L5" s="324">
        <v>144481</v>
      </c>
      <c r="M5" s="322" t="s">
        <v>181</v>
      </c>
      <c r="N5" s="324" t="s">
        <v>14</v>
      </c>
      <c r="O5" s="325">
        <v>44409</v>
      </c>
      <c r="Z5" s="326">
        <v>125427</v>
      </c>
    </row>
    <row r="6" spans="2:29" ht="22.35" customHeight="1">
      <c r="B6" s="321">
        <v>3</v>
      </c>
      <c r="C6" s="322" t="s">
        <v>5</v>
      </c>
      <c r="D6" s="322" t="s">
        <v>78</v>
      </c>
      <c r="E6" s="323" t="s">
        <v>68</v>
      </c>
      <c r="F6" s="324">
        <v>201640</v>
      </c>
      <c r="G6" s="324"/>
      <c r="H6" s="324"/>
      <c r="I6" s="324"/>
      <c r="J6" s="324"/>
      <c r="K6" s="324"/>
      <c r="L6" s="324">
        <v>201640</v>
      </c>
      <c r="M6" s="322" t="s">
        <v>181</v>
      </c>
      <c r="N6" s="324" t="s">
        <v>14</v>
      </c>
      <c r="O6" s="325">
        <v>44409</v>
      </c>
      <c r="Z6" s="326">
        <v>166034</v>
      </c>
    </row>
    <row r="7" spans="2:29" ht="22.35" customHeight="1">
      <c r="B7" s="327">
        <v>4</v>
      </c>
      <c r="C7" s="328" t="s">
        <v>16</v>
      </c>
      <c r="D7" s="328" t="s">
        <v>78</v>
      </c>
      <c r="E7" s="329" t="s">
        <v>68</v>
      </c>
      <c r="F7" s="330">
        <v>185347</v>
      </c>
      <c r="G7" s="330"/>
      <c r="H7" s="330"/>
      <c r="I7" s="330"/>
      <c r="J7" s="330"/>
      <c r="K7" s="330"/>
      <c r="L7" s="330">
        <v>185347</v>
      </c>
      <c r="M7" s="322" t="s">
        <v>181</v>
      </c>
      <c r="N7" s="330" t="s">
        <v>14</v>
      </c>
      <c r="O7" s="325">
        <v>44409</v>
      </c>
      <c r="Z7" s="326">
        <v>169758</v>
      </c>
    </row>
    <row r="8" spans="2:29" ht="22.35" customHeight="1">
      <c r="B8" s="321">
        <v>5</v>
      </c>
      <c r="C8" s="322" t="s">
        <v>20</v>
      </c>
      <c r="D8" s="322" t="s">
        <v>78</v>
      </c>
      <c r="E8" s="323" t="s">
        <v>68</v>
      </c>
      <c r="F8" s="324">
        <v>215834</v>
      </c>
      <c r="G8" s="324"/>
      <c r="H8" s="324"/>
      <c r="I8" s="324"/>
      <c r="J8" s="324"/>
      <c r="K8" s="324"/>
      <c r="L8" s="324">
        <v>215834</v>
      </c>
      <c r="M8" s="322" t="s">
        <v>181</v>
      </c>
      <c r="N8" s="324" t="s">
        <v>14</v>
      </c>
      <c r="O8" s="325">
        <v>44409</v>
      </c>
      <c r="Z8" s="326">
        <v>187069</v>
      </c>
    </row>
    <row r="9" spans="2:29" ht="22.35" customHeight="1">
      <c r="B9" s="331">
        <v>6</v>
      </c>
      <c r="C9" s="332" t="s">
        <v>8</v>
      </c>
      <c r="D9" s="332" t="s">
        <v>78</v>
      </c>
      <c r="E9" s="333" t="s">
        <v>68</v>
      </c>
      <c r="F9" s="334">
        <v>178501</v>
      </c>
      <c r="G9" s="334"/>
      <c r="H9" s="334"/>
      <c r="I9" s="334"/>
      <c r="J9" s="334"/>
      <c r="K9" s="334"/>
      <c r="L9" s="334">
        <v>178501</v>
      </c>
      <c r="M9" s="332" t="s">
        <v>182</v>
      </c>
      <c r="N9" s="334" t="s">
        <v>14</v>
      </c>
      <c r="O9" s="335">
        <v>44409</v>
      </c>
      <c r="Z9" s="326">
        <v>158708</v>
      </c>
    </row>
  </sheetData>
  <mergeCells count="1">
    <mergeCell ref="B1:O2"/>
  </mergeCells>
  <phoneticPr fontId="2" type="noConversion"/>
  <pageMargins left="0.78740157480314965" right="7.874015748031496E-2" top="0.94488188976377963" bottom="0.59055118110236215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16</vt:i4>
      </vt:variant>
    </vt:vector>
  </HeadingPairs>
  <TitlesOfParts>
    <vt:vector size="27" baseType="lpstr">
      <vt:lpstr>원가계산서</vt:lpstr>
      <vt:lpstr>총괄내역서</vt:lpstr>
      <vt:lpstr>내역서</vt:lpstr>
      <vt:lpstr>일위대가총괄표</vt:lpstr>
      <vt:lpstr>일위대가</vt:lpstr>
      <vt:lpstr>기계경비총괄표</vt:lpstr>
      <vt:lpstr>기계경비</vt:lpstr>
      <vt:lpstr>자재단가</vt:lpstr>
      <vt:lpstr>노임단가</vt:lpstr>
      <vt:lpstr>임목폐기물수량산출</vt:lpstr>
      <vt:lpstr>집재및운반</vt:lpstr>
      <vt:lpstr>기계경비!Print_Area</vt:lpstr>
      <vt:lpstr>기계경비총괄표!Print_Area</vt:lpstr>
      <vt:lpstr>내역서!Print_Area</vt:lpstr>
      <vt:lpstr>노임단가!Print_Area</vt:lpstr>
      <vt:lpstr>원가계산서!Print_Area</vt:lpstr>
      <vt:lpstr>일위대가!Print_Area</vt:lpstr>
      <vt:lpstr>일위대가총괄표!Print_Area</vt:lpstr>
      <vt:lpstr>자재단가!Print_Area</vt:lpstr>
      <vt:lpstr>집재및운반!Print_Area</vt:lpstr>
      <vt:lpstr>총괄내역서!Print_Area</vt:lpstr>
      <vt:lpstr>기계경비!Print_Titles</vt:lpstr>
      <vt:lpstr>기계경비총괄표!Print_Titles</vt:lpstr>
      <vt:lpstr>노임단가!Print_Titles</vt:lpstr>
      <vt:lpstr>일위대가!Print_Titles</vt:lpstr>
      <vt:lpstr>일위대가총괄표!Print_Titles</vt:lpstr>
      <vt:lpstr>자재단가!Print_Titles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2021-12-01T01:55:12Z</cp:lastPrinted>
  <dcterms:created xsi:type="dcterms:W3CDTF">2019-01-10T01:24:43Z</dcterms:created>
  <dcterms:modified xsi:type="dcterms:W3CDTF">2022-06-17T07:54:47Z</dcterms:modified>
</cp:coreProperties>
</file>